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acteria\"/>
    </mc:Choice>
  </mc:AlternateContent>
  <bookViews>
    <workbookView xWindow="45" yWindow="4635" windowWidth="15345" windowHeight="3150" activeTab="1"/>
  </bookViews>
  <sheets>
    <sheet name="Scenario Tool" sheetId="6" r:id="rId1"/>
    <sheet name="References" sheetId="7" r:id="rId2"/>
  </sheets>
  <definedNames>
    <definedName name="BMP">#REF!</definedName>
    <definedName name="Costs">References!$C$34:$E$56</definedName>
    <definedName name="Pervious">#REF!</definedName>
    <definedName name="_xlnm.Print_Area" localSheetId="1">References!$B$2:$J$57</definedName>
    <definedName name="_xlnm.Print_Area" localSheetId="0">'Scenario Tool'!$B$2:$N$40</definedName>
    <definedName name="Targets">#REF!</definedName>
    <definedName name="Volume">References!$C$8:$G$25</definedName>
  </definedNames>
  <calcPr calcId="152511"/>
</workbook>
</file>

<file path=xl/calcChain.xml><?xml version="1.0" encoding="utf-8"?>
<calcChain xmlns="http://schemas.openxmlformats.org/spreadsheetml/2006/main">
  <c r="R30" i="6" l="1"/>
  <c r="S30" i="6"/>
  <c r="R31" i="6"/>
  <c r="S31" i="6"/>
  <c r="T31" i="6"/>
  <c r="R32" i="6"/>
  <c r="S32" i="6"/>
  <c r="T32" i="6"/>
  <c r="W30" i="6"/>
  <c r="X30" i="6"/>
  <c r="W31" i="6"/>
  <c r="X31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I10" i="6"/>
  <c r="I9" i="6"/>
  <c r="I8" i="6"/>
  <c r="J9" i="6"/>
  <c r="J8" i="6"/>
  <c r="M15" i="6"/>
  <c r="G13" i="7"/>
  <c r="E13" i="7"/>
  <c r="M35" i="6"/>
  <c r="M32" i="6"/>
  <c r="M26" i="6"/>
  <c r="M23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D3" i="7"/>
  <c r="Q18" i="6"/>
  <c r="L35" i="6"/>
  <c r="L32" i="6"/>
  <c r="Q17" i="6"/>
  <c r="R17" i="6"/>
  <c r="R18" i="6"/>
  <c r="S18" i="6"/>
  <c r="L19" i="6"/>
  <c r="T30" i="6"/>
  <c r="V30" i="6"/>
  <c r="V31" i="6"/>
  <c r="V32" i="6"/>
  <c r="W32" i="6"/>
  <c r="X32" i="6"/>
  <c r="R26" i="6"/>
  <c r="S26" i="6"/>
  <c r="T26" i="6"/>
  <c r="R25" i="6"/>
  <c r="S25" i="6"/>
  <c r="T25" i="6"/>
  <c r="V29" i="6"/>
  <c r="W29" i="6"/>
  <c r="X29" i="6"/>
  <c r="R29" i="6"/>
  <c r="S29" i="6"/>
  <c r="T29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H14" i="6"/>
  <c r="AB15" i="6"/>
  <c r="G14" i="6"/>
  <c r="E38" i="6" s="1"/>
  <c r="H38" i="6" s="1"/>
  <c r="S17" i="6"/>
  <c r="L16" i="6"/>
  <c r="P25" i="6"/>
  <c r="L23" i="6"/>
  <c r="P29" i="6"/>
  <c r="L29" i="6"/>
  <c r="P30" i="6"/>
  <c r="P32" i="6"/>
  <c r="L26" i="6"/>
  <c r="L27" i="6"/>
  <c r="L28" i="6"/>
  <c r="P31" i="6"/>
  <c r="M38" i="6" l="1"/>
  <c r="I38" i="6"/>
  <c r="G38" i="6"/>
  <c r="H7" i="6" s="1"/>
  <c r="H8" i="6" s="1"/>
  <c r="H9" i="6" s="1"/>
  <c r="H10" i="6" s="1"/>
</calcChain>
</file>

<file path=xl/sharedStrings.xml><?xml version="1.0" encoding="utf-8"?>
<sst xmlns="http://schemas.openxmlformats.org/spreadsheetml/2006/main" count="145" uniqueCount="82">
  <si>
    <t>BMP Type</t>
  </si>
  <si>
    <t>A</t>
  </si>
  <si>
    <t>B</t>
  </si>
  <si>
    <t>C</t>
  </si>
  <si>
    <t>D</t>
  </si>
  <si>
    <t>cf</t>
  </si>
  <si>
    <t>Stream Restoration</t>
  </si>
  <si>
    <t>S</t>
  </si>
  <si>
    <t>Q*</t>
  </si>
  <si>
    <t>sf</t>
  </si>
  <si>
    <t>Tree Planting</t>
  </si>
  <si>
    <t>Downspout Disconnection</t>
  </si>
  <si>
    <t>#</t>
  </si>
  <si>
    <t># of Downspouts</t>
  </si>
  <si>
    <t>Total Volume Removed</t>
  </si>
  <si>
    <t>Vol Reduction</t>
  </si>
  <si>
    <t># of Trees</t>
  </si>
  <si>
    <t>Scenario</t>
  </si>
  <si>
    <t>CN</t>
  </si>
  <si>
    <t>Baseline</t>
  </si>
  <si>
    <t>-</t>
  </si>
  <si>
    <t>Avg Roof Area per DS</t>
  </si>
  <si>
    <t>Volume Reduction</t>
  </si>
  <si>
    <t>Total Volume Reduction</t>
  </si>
  <si>
    <t>Vol (cf)</t>
  </si>
  <si>
    <t xml:space="preserve">Vol Reduction </t>
  </si>
  <si>
    <t>$</t>
  </si>
  <si>
    <t>Est Cost</t>
  </si>
  <si>
    <t>Description</t>
  </si>
  <si>
    <t>Bioretention</t>
  </si>
  <si>
    <t>Bioretention w/ IWS</t>
  </si>
  <si>
    <t>Blue Roof</t>
  </si>
  <si>
    <t>Closed Sand Filter</t>
  </si>
  <si>
    <t>Constructed Wetland</t>
  </si>
  <si>
    <t>Dry Detention</t>
  </si>
  <si>
    <t>Engineered Filter Strip</t>
  </si>
  <si>
    <t>Grass Swale</t>
  </si>
  <si>
    <t>Infiltration Device</t>
  </si>
  <si>
    <t>Open Sand Filter</t>
  </si>
  <si>
    <t>Permeable Pavement (Detention)</t>
  </si>
  <si>
    <t>Rainwater Harvesting</t>
  </si>
  <si>
    <t>Wet Detention</t>
  </si>
  <si>
    <t>BMP Volume Reduction Credits</t>
  </si>
  <si>
    <t>Permeable Pavement (Infiltration)</t>
  </si>
  <si>
    <t>*Note: Storage Volume in gravel layer below pavement</t>
  </si>
  <si>
    <t>Volume Reduction expressed as a percentage of available surface storage volume below overflow structure</t>
  </si>
  <si>
    <t>Soil Type</t>
  </si>
  <si>
    <t>BMP Construction Cost Data</t>
  </si>
  <si>
    <t>Unit</t>
  </si>
  <si>
    <t>ea</t>
  </si>
  <si>
    <t>Green Roof</t>
  </si>
  <si>
    <t>Structural BMP Details</t>
  </si>
  <si>
    <t>Roof Area</t>
  </si>
  <si>
    <t>Impervious Area Removal</t>
  </si>
  <si>
    <t>Over A Soils</t>
  </si>
  <si>
    <t>Over B Soils</t>
  </si>
  <si>
    <t>Over C Soils</t>
  </si>
  <si>
    <t>Over D Soils</t>
  </si>
  <si>
    <t>Imp Area</t>
  </si>
  <si>
    <t>DCIA</t>
  </si>
  <si>
    <t>Green Roof Conversions</t>
  </si>
  <si>
    <t>Over A &amp; B Soils:</t>
  </si>
  <si>
    <t>Over C &amp; D Soils:</t>
  </si>
  <si>
    <t>Design Rainfall Depth</t>
  </si>
  <si>
    <t>Runoff Vol</t>
  </si>
  <si>
    <t xml:space="preserve">Project Name </t>
  </si>
  <si>
    <t xml:space="preserve">Scenario Name </t>
  </si>
  <si>
    <t>Non Structural BMP Details</t>
  </si>
  <si>
    <t>Estimated Cost</t>
  </si>
  <si>
    <t>Avg Canopy Diameter</t>
  </si>
  <si>
    <t>New Floodplain Area</t>
  </si>
  <si>
    <t>Estimated Cost =</t>
  </si>
  <si>
    <t>Permeable Pavement (Detention)*</t>
  </si>
  <si>
    <t>Permeable Pavement (Infiltration)*</t>
  </si>
  <si>
    <t>ZZ User Defined</t>
  </si>
  <si>
    <t>Avg Storage Volume</t>
  </si>
  <si>
    <t>Watershed Area</t>
  </si>
  <si>
    <t>Goal</t>
  </si>
  <si>
    <t>% Complete</t>
  </si>
  <si>
    <t>Scenario #2</t>
  </si>
  <si>
    <t>Scenario #3</t>
  </si>
  <si>
    <t>Scenario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</si>
</sst>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164" formatCode="&quot;$&quot;#,##0"/>
    <numFmt numFmtId="165" formatCode="0.00\ &quot;in&quot;"/>
    <numFmt numFmtId="166" formatCode="0\ &quot;cf&quot;"/>
    <numFmt numFmtId="167" formatCode="0.00\ &quot;ac-ft&quot;"/>
    <numFmt numFmtId="168" formatCode="0\ &quot;sf&quot;"/>
    <numFmt numFmtId="169" formatCode="0\ &quot;ft&quot;"/>
    <numFmt numFmtId="170" formatCode="0.00\ &quot;ac&quot;"/>
    <numFmt numFmtId="171" formatCode="0.00\ &quot;gal/sf&quot;"/>
    <numFmt numFmtId="172" formatCode="0\ &quot;cf/ac&quot;"/>
    <numFmt numFmtId="173" formatCode="0\ &quot;gal/ac&quot;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6E0B4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0" fillId="0" borderId="0" xfId="0" applyProtection="1"/>
    <xf numFmtId="0" fontId="3" fillId="0" borderId="0" xfId="0" applyFont="1"/>
    <xf numFmtId="0" fontId="3" fillId="0" borderId="1" xfId="0" applyFont="1" applyBorder="1"/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3" fillId="0" borderId="0" xfId="0" applyFont="1" applyFill="1" applyBorder="1"/>
    <xf numFmtId="9" fontId="2" fillId="0" borderId="0" xfId="3" applyFont="1" applyFill="1" applyBorder="1" applyAlignment="1" applyProtection="1">
      <alignment horizontal="center"/>
    </xf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6" fillId="0" borderId="0" xfId="0" applyFont="1" applyFill="1"/>
    <xf numFmtId="0" fontId="6" fillId="0" borderId="2" xfId="0" applyFont="1" applyFill="1" applyBorder="1"/>
    <xf numFmtId="167" fontId="6" fillId="0" borderId="3" xfId="0" applyNumberFormat="1" applyFont="1" applyFill="1" applyBorder="1" applyAlignment="1">
      <alignment horizontal="center"/>
    </xf>
    <xf numFmtId="0" fontId="6" fillId="0" borderId="4" xfId="0" applyFont="1" applyFill="1" applyBorder="1"/>
    <xf numFmtId="0" fontId="6" fillId="0" borderId="0" xfId="0" applyFont="1" applyFill="1" applyBorder="1"/>
    <xf numFmtId="166" fontId="6" fillId="0" borderId="3" xfId="0" applyNumberFormat="1" applyFont="1" applyFill="1" applyBorder="1" applyAlignment="1">
      <alignment horizontal="center"/>
    </xf>
    <xf numFmtId="0" fontId="6" fillId="0" borderId="5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/>
    <xf numFmtId="0" fontId="7" fillId="0" borderId="7" xfId="0" applyFont="1" applyFill="1" applyBorder="1"/>
    <xf numFmtId="0" fontId="7" fillId="0" borderId="8" xfId="0" applyFont="1" applyFill="1" applyBorder="1" applyAlignment="1">
      <alignment horizontal="center"/>
    </xf>
    <xf numFmtId="167" fontId="6" fillId="0" borderId="9" xfId="0" applyNumberFormat="1" applyFont="1" applyFill="1" applyBorder="1" applyAlignment="1">
      <alignment horizontal="center"/>
    </xf>
    <xf numFmtId="167" fontId="6" fillId="3" borderId="3" xfId="0" applyNumberFormat="1" applyFont="1" applyFill="1" applyBorder="1" applyAlignment="1">
      <alignment horizontal="center"/>
    </xf>
    <xf numFmtId="167" fontId="6" fillId="3" borderId="3" xfId="0" applyNumberFormat="1" applyFont="1" applyFill="1" applyBorder="1" applyAlignment="1">
      <alignment horizontal="center" vertical="center"/>
    </xf>
    <xf numFmtId="167" fontId="6" fillId="3" borderId="9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3" xfId="0" applyFont="1" applyFill="1" applyBorder="1" applyAlignment="1">
      <alignment horizontal="center"/>
    </xf>
    <xf numFmtId="166" fontId="6" fillId="3" borderId="3" xfId="0" applyNumberFormat="1" applyFont="1" applyFill="1" applyBorder="1" applyAlignment="1">
      <alignment horizontal="center"/>
    </xf>
    <xf numFmtId="168" fontId="6" fillId="3" borderId="3" xfId="0" applyNumberFormat="1" applyFont="1" applyFill="1" applyBorder="1" applyAlignment="1">
      <alignment horizontal="center"/>
    </xf>
    <xf numFmtId="168" fontId="6" fillId="3" borderId="9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 vertical="center"/>
    </xf>
    <xf numFmtId="0" fontId="6" fillId="0" borderId="7" xfId="0" applyFont="1" applyFill="1" applyBorder="1"/>
    <xf numFmtId="0" fontId="6" fillId="3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/>
    </xf>
    <xf numFmtId="169" fontId="6" fillId="3" borderId="9" xfId="0" applyNumberFormat="1" applyFont="1" applyFill="1" applyBorder="1" applyAlignment="1">
      <alignment horizontal="center"/>
    </xf>
    <xf numFmtId="168" fontId="6" fillId="3" borderId="12" xfId="0" applyNumberFormat="1" applyFont="1" applyFill="1" applyBorder="1" applyAlignment="1">
      <alignment horizontal="center" vertical="center"/>
    </xf>
    <xf numFmtId="168" fontId="6" fillId="3" borderId="12" xfId="0" applyNumberFormat="1" applyFont="1" applyFill="1" applyBorder="1" applyAlignment="1">
      <alignment horizontal="center"/>
    </xf>
    <xf numFmtId="168" fontId="6" fillId="3" borderId="8" xfId="0" applyNumberFormat="1" applyFont="1" applyFill="1" applyBorder="1" applyAlignment="1">
      <alignment horizontal="center"/>
    </xf>
    <xf numFmtId="166" fontId="6" fillId="0" borderId="12" xfId="0" applyNumberFormat="1" applyFont="1" applyFill="1" applyBorder="1" applyAlignment="1">
      <alignment horizontal="center"/>
    </xf>
    <xf numFmtId="166" fontId="6" fillId="0" borderId="8" xfId="0" applyNumberFormat="1" applyFont="1" applyFill="1" applyBorder="1" applyAlignment="1">
      <alignment horizontal="center"/>
    </xf>
    <xf numFmtId="166" fontId="6" fillId="0" borderId="9" xfId="0" applyNumberFormat="1" applyFont="1" applyFill="1" applyBorder="1" applyAlignment="1">
      <alignment horizontal="center"/>
    </xf>
    <xf numFmtId="0" fontId="6" fillId="0" borderId="13" xfId="0" applyFont="1" applyFill="1" applyBorder="1"/>
    <xf numFmtId="0" fontId="8" fillId="0" borderId="14" xfId="0" applyFont="1" applyFill="1" applyBorder="1"/>
    <xf numFmtId="0" fontId="0" fillId="0" borderId="15" xfId="0" applyFill="1" applyBorder="1"/>
    <xf numFmtId="0" fontId="6" fillId="0" borderId="15" xfId="0" applyFont="1" applyFill="1" applyBorder="1"/>
    <xf numFmtId="0" fontId="8" fillId="0" borderId="14" xfId="0" applyFont="1" applyFill="1" applyBorder="1" applyAlignment="1" applyProtection="1">
      <alignment vertical="center"/>
    </xf>
    <xf numFmtId="0" fontId="8" fillId="0" borderId="14" xfId="0" applyFont="1" applyFill="1" applyBorder="1" applyAlignment="1">
      <alignment vertical="center"/>
    </xf>
    <xf numFmtId="0" fontId="6" fillId="4" borderId="14" xfId="0" applyFont="1" applyFill="1" applyBorder="1"/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/>
    <xf numFmtId="0" fontId="6" fillId="4" borderId="15" xfId="0" applyFont="1" applyFill="1" applyBorder="1"/>
    <xf numFmtId="0" fontId="7" fillId="4" borderId="0" xfId="0" applyFont="1" applyFill="1" applyBorder="1" applyAlignment="1">
      <alignment horizontal="center" vertical="center"/>
    </xf>
    <xf numFmtId="10" fontId="6" fillId="4" borderId="0" xfId="3" applyNumberFormat="1" applyFont="1" applyFill="1" applyBorder="1" applyAlignment="1">
      <alignment horizontal="center" vertical="center"/>
    </xf>
    <xf numFmtId="0" fontId="6" fillId="0" borderId="16" xfId="0" applyFont="1" applyFill="1" applyBorder="1"/>
    <xf numFmtId="168" fontId="6" fillId="3" borderId="17" xfId="0" applyNumberFormat="1" applyFont="1" applyFill="1" applyBorder="1" applyAlignment="1">
      <alignment horizontal="center"/>
    </xf>
    <xf numFmtId="0" fontId="9" fillId="0" borderId="13" xfId="0" applyFont="1" applyFill="1" applyBorder="1"/>
    <xf numFmtId="0" fontId="9" fillId="0" borderId="14" xfId="0" applyFont="1" applyFill="1" applyBorder="1"/>
    <xf numFmtId="0" fontId="6" fillId="4" borderId="18" xfId="0" applyFont="1" applyFill="1" applyBorder="1"/>
    <xf numFmtId="0" fontId="6" fillId="4" borderId="19" xfId="0" applyFont="1" applyFill="1" applyBorder="1"/>
    <xf numFmtId="0" fontId="6" fillId="4" borderId="20" xfId="0" applyFont="1" applyFill="1" applyBorder="1"/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center"/>
    </xf>
    <xf numFmtId="0" fontId="0" fillId="4" borderId="0" xfId="0" applyFill="1" applyBorder="1"/>
    <xf numFmtId="166" fontId="6" fillId="4" borderId="0" xfId="0" applyNumberFormat="1" applyFont="1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6" fillId="4" borderId="0" xfId="0" applyFont="1" applyFill="1" applyBorder="1" applyAlignment="1">
      <alignment vertical="center"/>
    </xf>
    <xf numFmtId="0" fontId="0" fillId="0" borderId="25" xfId="0" applyFill="1" applyBorder="1"/>
    <xf numFmtId="0" fontId="3" fillId="0" borderId="25" xfId="0" applyFont="1" applyFill="1" applyBorder="1"/>
    <xf numFmtId="0" fontId="0" fillId="0" borderId="26" xfId="0" applyFill="1" applyBorder="1"/>
    <xf numFmtId="0" fontId="6" fillId="0" borderId="27" xfId="0" applyFont="1" applyFill="1" applyBorder="1"/>
    <xf numFmtId="0" fontId="0" fillId="0" borderId="27" xfId="0" applyFill="1" applyBorder="1"/>
    <xf numFmtId="0" fontId="0" fillId="0" borderId="28" xfId="0" applyFill="1" applyBorder="1"/>
    <xf numFmtId="0" fontId="6" fillId="4" borderId="5" xfId="0" applyFont="1" applyFill="1" applyBorder="1" applyAlignment="1">
      <alignment vertical="center"/>
    </xf>
    <xf numFmtId="0" fontId="7" fillId="4" borderId="14" xfId="0" applyFont="1" applyFill="1" applyBorder="1" applyAlignment="1">
      <alignment horizontal="center" vertical="center"/>
    </xf>
    <xf numFmtId="9" fontId="2" fillId="3" borderId="3" xfId="3" applyFont="1" applyFill="1" applyBorder="1" applyAlignment="1" applyProtection="1">
      <alignment horizontal="center"/>
    </xf>
    <xf numFmtId="44" fontId="2" fillId="3" borderId="3" xfId="1" applyFont="1" applyFill="1" applyBorder="1" applyAlignment="1" applyProtection="1">
      <alignment horizontal="center"/>
    </xf>
    <xf numFmtId="0" fontId="2" fillId="0" borderId="7" xfId="0" applyFont="1" applyBorder="1" applyAlignment="1">
      <alignment wrapText="1"/>
    </xf>
    <xf numFmtId="0" fontId="2" fillId="0" borderId="8" xfId="0" applyFont="1" applyFill="1" applyBorder="1" applyAlignment="1" applyProtection="1">
      <alignment horizontal="center" wrapText="1"/>
    </xf>
    <xf numFmtId="0" fontId="2" fillId="0" borderId="29" xfId="0" applyFont="1" applyFill="1" applyBorder="1" applyAlignment="1" applyProtection="1">
      <alignment horizontal="center" wrapText="1"/>
    </xf>
    <xf numFmtId="0" fontId="3" fillId="0" borderId="2" xfId="0" applyFont="1" applyFill="1" applyBorder="1" applyProtection="1"/>
    <xf numFmtId="9" fontId="2" fillId="3" borderId="1" xfId="3" applyFont="1" applyFill="1" applyBorder="1" applyAlignment="1" applyProtection="1">
      <alignment horizontal="center"/>
    </xf>
    <xf numFmtId="0" fontId="3" fillId="3" borderId="2" xfId="0" applyFont="1" applyFill="1" applyBorder="1" applyProtection="1"/>
    <xf numFmtId="0" fontId="3" fillId="3" borderId="4" xfId="0" applyFont="1" applyFill="1" applyBorder="1" applyProtection="1"/>
    <xf numFmtId="9" fontId="2" fillId="3" borderId="9" xfId="3" applyFont="1" applyFill="1" applyBorder="1" applyAlignment="1" applyProtection="1">
      <alignment horizontal="center"/>
    </xf>
    <xf numFmtId="9" fontId="2" fillId="3" borderId="30" xfId="3" applyFont="1" applyFill="1" applyBorder="1" applyAlignment="1" applyProtection="1">
      <alignment horizontal="center"/>
    </xf>
    <xf numFmtId="0" fontId="3" fillId="0" borderId="1" xfId="0" applyFont="1" applyFill="1" applyBorder="1"/>
    <xf numFmtId="0" fontId="3" fillId="3" borderId="1" xfId="0" applyFont="1" applyFill="1" applyBorder="1"/>
    <xf numFmtId="44" fontId="2" fillId="3" borderId="9" xfId="1" applyFont="1" applyFill="1" applyBorder="1" applyAlignment="1" applyProtection="1">
      <alignment horizontal="center"/>
    </xf>
    <xf numFmtId="0" fontId="3" fillId="3" borderId="30" xfId="0" applyFont="1" applyFill="1" applyBorder="1"/>
    <xf numFmtId="0" fontId="0" fillId="0" borderId="27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4" fillId="0" borderId="14" xfId="0" applyFont="1" applyBorder="1"/>
    <xf numFmtId="0" fontId="3" fillId="0" borderId="14" xfId="0" applyFont="1" applyFill="1" applyBorder="1" applyProtection="1"/>
    <xf numFmtId="0" fontId="0" fillId="0" borderId="31" xfId="0" applyBorder="1"/>
    <xf numFmtId="0" fontId="0" fillId="0" borderId="32" xfId="0" applyBorder="1"/>
    <xf numFmtId="0" fontId="2" fillId="0" borderId="14" xfId="0" applyFont="1" applyBorder="1"/>
    <xf numFmtId="0" fontId="0" fillId="0" borderId="33" xfId="0" applyBorder="1"/>
    <xf numFmtId="0" fontId="0" fillId="0" borderId="34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" fillId="0" borderId="24" xfId="0" applyFont="1" applyBorder="1" applyAlignment="1">
      <alignment horizontal="right"/>
    </xf>
    <xf numFmtId="0" fontId="0" fillId="0" borderId="26" xfId="0" applyBorder="1"/>
    <xf numFmtId="0" fontId="0" fillId="0" borderId="28" xfId="0" applyBorder="1"/>
    <xf numFmtId="9" fontId="2" fillId="3" borderId="3" xfId="3" applyFont="1" applyFill="1" applyBorder="1" applyAlignment="1">
      <alignment horizontal="center"/>
    </xf>
    <xf numFmtId="9" fontId="2" fillId="0" borderId="3" xfId="3" applyFont="1" applyFill="1" applyBorder="1" applyAlignment="1">
      <alignment horizontal="center"/>
    </xf>
    <xf numFmtId="9" fontId="2" fillId="0" borderId="1" xfId="3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9" fontId="6" fillId="0" borderId="3" xfId="3" applyFont="1" applyFill="1" applyBorder="1" applyAlignment="1">
      <alignment horizontal="center"/>
    </xf>
    <xf numFmtId="9" fontId="6" fillId="0" borderId="1" xfId="3" applyFont="1" applyFill="1" applyBorder="1" applyAlignment="1">
      <alignment horizontal="center" vertical="center"/>
    </xf>
    <xf numFmtId="9" fontId="6" fillId="0" borderId="30" xfId="3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10" fillId="3" borderId="3" xfId="2" applyFont="1" applyFill="1" applyBorder="1" applyAlignment="1">
      <alignment horizontal="center" vertical="center"/>
    </xf>
    <xf numFmtId="0" fontId="10" fillId="3" borderId="9" xfId="2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173" fontId="6" fillId="0" borderId="3" xfId="3" applyNumberFormat="1" applyFont="1" applyFill="1" applyBorder="1" applyAlignment="1">
      <alignment horizontal="center" vertical="center"/>
    </xf>
    <xf numFmtId="173" fontId="6" fillId="0" borderId="9" xfId="3" applyNumberFormat="1" applyFont="1" applyFill="1" applyBorder="1" applyAlignment="1">
      <alignment horizontal="center" vertical="center"/>
    </xf>
    <xf numFmtId="0" fontId="6" fillId="3" borderId="3" xfId="0" applyFont="1" applyFill="1" applyBorder="1" applyProtection="1"/>
    <xf numFmtId="164" fontId="6" fillId="0" borderId="3" xfId="0" applyNumberFormat="1" applyFont="1" applyFill="1" applyBorder="1" applyAlignment="1">
      <alignment horizontal="center"/>
    </xf>
    <xf numFmtId="164" fontId="12" fillId="0" borderId="35" xfId="0" applyNumberFormat="1" applyFont="1" applyFill="1" applyBorder="1" applyAlignment="1">
      <alignment horizontal="center" vertical="center" wrapText="1"/>
    </xf>
    <xf numFmtId="164" fontId="12" fillId="0" borderId="44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50" xfId="0" applyFont="1" applyFill="1" applyBorder="1" applyAlignment="1">
      <alignment horizontal="right" vertical="center" wrapText="1"/>
    </xf>
    <xf numFmtId="0" fontId="12" fillId="0" borderId="43" xfId="0" applyFont="1" applyFill="1" applyBorder="1" applyAlignment="1">
      <alignment horizontal="right" vertical="center" wrapText="1"/>
    </xf>
    <xf numFmtId="0" fontId="12" fillId="0" borderId="51" xfId="0" applyFont="1" applyFill="1" applyBorder="1" applyAlignment="1">
      <alignment horizontal="right" vertical="center" wrapText="1"/>
    </xf>
    <xf numFmtId="166" fontId="6" fillId="0" borderId="8" xfId="0" applyNumberFormat="1" applyFont="1" applyFill="1" applyBorder="1" applyAlignment="1">
      <alignment horizontal="center" vertical="center"/>
    </xf>
    <xf numFmtId="166" fontId="6" fillId="0" borderId="9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166" fontId="12" fillId="0" borderId="52" xfId="0" applyNumberFormat="1" applyFont="1" applyFill="1" applyBorder="1" applyAlignment="1">
      <alignment horizontal="center" vertical="center"/>
    </xf>
    <xf numFmtId="166" fontId="12" fillId="0" borderId="50" xfId="0" applyNumberFormat="1" applyFont="1" applyFill="1" applyBorder="1" applyAlignment="1">
      <alignment horizontal="center" vertical="center"/>
    </xf>
    <xf numFmtId="166" fontId="12" fillId="0" borderId="53" xfId="0" applyNumberFormat="1" applyFont="1" applyFill="1" applyBorder="1" applyAlignment="1">
      <alignment horizontal="center" vertical="center"/>
    </xf>
    <xf numFmtId="166" fontId="12" fillId="0" borderId="51" xfId="0" applyNumberFormat="1" applyFont="1" applyFill="1" applyBorder="1" applyAlignment="1">
      <alignment horizontal="center" vertical="center"/>
    </xf>
    <xf numFmtId="167" fontId="12" fillId="0" borderId="36" xfId="0" applyNumberFormat="1" applyFont="1" applyFill="1" applyBorder="1" applyAlignment="1">
      <alignment horizontal="center" vertical="center"/>
    </xf>
    <xf numFmtId="167" fontId="12" fillId="0" borderId="49" xfId="0" applyNumberFormat="1" applyFont="1" applyFill="1" applyBorder="1" applyAlignment="1">
      <alignment horizontal="center" vertical="center"/>
    </xf>
    <xf numFmtId="172" fontId="12" fillId="0" borderId="46" xfId="0" applyNumberFormat="1" applyFont="1" applyFill="1" applyBorder="1" applyAlignment="1">
      <alignment horizontal="center" vertical="center"/>
    </xf>
    <xf numFmtId="172" fontId="12" fillId="0" borderId="48" xfId="0" applyNumberFormat="1" applyFont="1" applyFill="1" applyBorder="1" applyAlignment="1">
      <alignment horizontal="center" vertical="center"/>
    </xf>
    <xf numFmtId="171" fontId="12" fillId="0" borderId="13" xfId="0" applyNumberFormat="1" applyFont="1" applyFill="1" applyBorder="1" applyAlignment="1">
      <alignment horizontal="center" vertical="center"/>
    </xf>
    <xf numFmtId="171" fontId="12" fillId="0" borderId="6" xfId="0" applyNumberFormat="1" applyFont="1" applyFill="1" applyBorder="1" applyAlignment="1">
      <alignment horizontal="center" vertical="center"/>
    </xf>
    <xf numFmtId="171" fontId="12" fillId="0" borderId="43" xfId="0" applyNumberFormat="1" applyFont="1" applyFill="1" applyBorder="1" applyAlignment="1">
      <alignment horizontal="center" vertical="center"/>
    </xf>
    <xf numFmtId="171" fontId="12" fillId="0" borderId="34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6" fontId="6" fillId="0" borderId="3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44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 wrapText="1"/>
    </xf>
    <xf numFmtId="166" fontId="6" fillId="0" borderId="45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48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wrapText="1"/>
    </xf>
    <xf numFmtId="0" fontId="7" fillId="0" borderId="49" xfId="0" applyFont="1" applyFill="1" applyBorder="1" applyAlignment="1">
      <alignment horizontal="center" wrapText="1"/>
    </xf>
    <xf numFmtId="164" fontId="6" fillId="0" borderId="54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170" fontId="12" fillId="3" borderId="41" xfId="0" applyNumberFormat="1" applyFont="1" applyFill="1" applyBorder="1" applyAlignment="1">
      <alignment horizontal="center" vertical="center"/>
    </xf>
    <xf numFmtId="170" fontId="12" fillId="3" borderId="42" xfId="0" applyNumberFormat="1" applyFont="1" applyFill="1" applyBorder="1" applyAlignment="1">
      <alignment horizontal="center" vertical="center"/>
    </xf>
    <xf numFmtId="170" fontId="12" fillId="3" borderId="43" xfId="0" applyNumberFormat="1" applyFont="1" applyFill="1" applyBorder="1" applyAlignment="1">
      <alignment horizontal="center" vertical="center"/>
    </xf>
    <xf numFmtId="170" fontId="12" fillId="3" borderId="34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right" vertical="center"/>
    </xf>
    <xf numFmtId="0" fontId="13" fillId="0" borderId="43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0" fontId="13" fillId="0" borderId="34" xfId="0" applyFon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165" fontId="12" fillId="3" borderId="41" xfId="0" applyNumberFormat="1" applyFont="1" applyFill="1" applyBorder="1" applyAlignment="1">
      <alignment horizontal="center" vertical="center"/>
    </xf>
    <xf numFmtId="165" fontId="12" fillId="3" borderId="42" xfId="0" applyNumberFormat="1" applyFont="1" applyFill="1" applyBorder="1" applyAlignment="1">
      <alignment horizontal="center" vertical="center"/>
    </xf>
    <xf numFmtId="165" fontId="12" fillId="3" borderId="43" xfId="0" applyNumberFormat="1" applyFont="1" applyFill="1" applyBorder="1" applyAlignment="1">
      <alignment horizontal="center" vertical="center"/>
    </xf>
    <xf numFmtId="165" fontId="12" fillId="3" borderId="34" xfId="0" applyNumberFormat="1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10" fillId="3" borderId="9" xfId="2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/>
    </xf>
    <xf numFmtId="0" fontId="11" fillId="0" borderId="39" xfId="0" applyFont="1" applyFill="1" applyBorder="1" applyAlignment="1">
      <alignment horizontal="left"/>
    </xf>
    <xf numFmtId="0" fontId="11" fillId="0" borderId="40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3" fillId="3" borderId="13" xfId="0" applyNumberFormat="1" applyFont="1" applyFill="1" applyBorder="1" applyAlignment="1">
      <alignment horizontal="center" vertical="center"/>
    </xf>
    <xf numFmtId="0" fontId="13" fillId="3" borderId="5" xfId="0" applyNumberFormat="1" applyFont="1" applyFill="1" applyBorder="1" applyAlignment="1">
      <alignment horizontal="center" vertical="center"/>
    </xf>
    <xf numFmtId="0" fontId="13" fillId="3" borderId="6" xfId="0" applyNumberFormat="1" applyFont="1" applyFill="1" applyBorder="1" applyAlignment="1">
      <alignment horizontal="center" vertical="center"/>
    </xf>
    <xf numFmtId="0" fontId="13" fillId="3" borderId="43" xfId="0" applyNumberFormat="1" applyFont="1" applyFill="1" applyBorder="1" applyAlignment="1">
      <alignment horizontal="center" vertical="center"/>
    </xf>
    <xf numFmtId="0" fontId="13" fillId="3" borderId="33" xfId="0" applyNumberFormat="1" applyFont="1" applyFill="1" applyBorder="1" applyAlignment="1">
      <alignment horizontal="center" vertical="center"/>
    </xf>
    <xf numFmtId="0" fontId="13" fillId="3" borderId="3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</cellXfs>
  <cellStyles count="4">
    <cellStyle name="Currency" xfId="1" builtinId="4"/>
    <cellStyle name="Good" xfId="2" builtinId="26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</xdr:colOff>
          <xdr:row>7</xdr:row>
          <xdr:rowOff>28575</xdr:rowOff>
        </xdr:from>
        <xdr:to>
          <xdr:col>8</xdr:col>
          <xdr:colOff>371475</xdr:colOff>
          <xdr:row>10</xdr:row>
          <xdr:rowOff>123825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Table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352425</xdr:colOff>
          <xdr:row>32</xdr:row>
          <xdr:rowOff>57150</xdr:rowOff>
        </xdr:from>
        <xdr:to>
          <xdr:col>8</xdr:col>
          <xdr:colOff>133350</xdr:colOff>
          <xdr:row>34</xdr:row>
          <xdr:rowOff>47625</xdr:rowOff>
        </xdr:to>
        <xdr:sp macro="" textlink="">
          <xdr:nvSpPr>
            <xdr:cNvPr id="8194" name="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Cost Table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AE46"/>
  <sheetViews>
    <sheetView showGridLines="0" zoomScale="70" zoomScaleNormal="70" workbookViewId="0">
      <selection activeCell="C14" sqref="C14:F14"/>
    </sheetView>
  </sheetViews>
  <sheetFormatPr defaultRowHeight="12.75" x14ac:dyDescent="0.2"/>
  <cols>
    <col min="1" max="1" width="9.140625" style="8"/>
    <col min="2" max="2" width="1.28515625" style="8" customWidth="1"/>
    <col min="3" max="3" width="24.85546875" style="8" customWidth="1"/>
    <col min="4" max="4" width="8.85546875" style="8" customWidth="1"/>
    <col min="5" max="5" width="6.42578125" style="8" customWidth="1"/>
    <col min="6" max="6" width="12" style="8" customWidth="1"/>
    <col min="7" max="7" width="17.28515625" style="8" customWidth="1"/>
    <col min="8" max="8" width="19.140625" style="8" customWidth="1"/>
    <col min="9" max="9" width="14.28515625" style="8" customWidth="1"/>
    <col min="10" max="10" width="28.140625" style="8" customWidth="1"/>
    <col min="11" max="11" width="14.28515625" style="8" customWidth="1"/>
    <col min="12" max="12" width="16.140625" style="8" customWidth="1"/>
    <col min="13" max="13" width="13.28515625" style="8" customWidth="1"/>
    <col min="14" max="14" width="0.85546875" style="8" customWidth="1"/>
    <col min="15" max="15" width="9.140625" style="8"/>
    <col min="16" max="16" width="15.28515625" style="8" hidden="1" customWidth="1"/>
    <col min="17" max="17" width="9.140625" style="8" hidden="1" customWidth="1"/>
    <col min="18" max="18" width="9.140625" hidden="1" customWidth="1"/>
    <col min="19" max="31" width="9.140625" style="8" hidden="1" customWidth="1"/>
    <col min="32" max="34" width="0" style="8" hidden="1" customWidth="1"/>
    <col min="35" max="16384" width="9.140625" style="8"/>
  </cols>
  <sheetData>
    <row r="1" spans="2:28" ht="13.5" thickBot="1" x14ac:dyDescent="0.25"/>
    <row r="2" spans="2:28" ht="5.25" customHeight="1" thickTop="1" thickBot="1" x14ac:dyDescent="0.25"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2:28" ht="12.75" customHeight="1" x14ac:dyDescent="0.2">
      <c r="B3" s="73"/>
      <c r="C3" s="183" t="s">
        <v>65</v>
      </c>
      <c r="D3" s="191"/>
      <c r="E3" s="187"/>
      <c r="F3" s="187"/>
      <c r="G3" s="188"/>
      <c r="H3" s="81"/>
      <c r="I3" s="183" t="s">
        <v>66</v>
      </c>
      <c r="J3" s="185"/>
      <c r="K3" s="187"/>
      <c r="L3" s="187"/>
      <c r="M3" s="188"/>
      <c r="N3" s="75"/>
    </row>
    <row r="4" spans="2:28" ht="13.5" customHeight="1" thickBot="1" x14ac:dyDescent="0.25">
      <c r="B4" s="73"/>
      <c r="C4" s="184"/>
      <c r="D4" s="192"/>
      <c r="E4" s="189"/>
      <c r="F4" s="189"/>
      <c r="G4" s="190"/>
      <c r="H4" s="74"/>
      <c r="I4" s="184"/>
      <c r="J4" s="186"/>
      <c r="K4" s="189"/>
      <c r="L4" s="189"/>
      <c r="M4" s="190"/>
      <c r="N4" s="75"/>
    </row>
    <row r="5" spans="2:28" ht="12.75" customHeight="1" thickBot="1" x14ac:dyDescent="0.25">
      <c r="B5" s="73"/>
      <c r="C5" s="52"/>
      <c r="D5" s="54"/>
      <c r="E5" s="54"/>
      <c r="F5" s="54"/>
      <c r="G5" s="56"/>
      <c r="H5" s="56"/>
      <c r="I5" s="54"/>
      <c r="J5" s="54"/>
      <c r="K5" s="54"/>
      <c r="L5" s="54"/>
      <c r="M5" s="55"/>
      <c r="N5" s="75"/>
      <c r="AB5" s="9" t="s">
        <v>1</v>
      </c>
    </row>
    <row r="6" spans="2:28" ht="13.5" customHeight="1" x14ac:dyDescent="0.25">
      <c r="B6" s="73"/>
      <c r="C6" s="20" t="s">
        <v>17</v>
      </c>
      <c r="D6" s="178" t="s">
        <v>28</v>
      </c>
      <c r="E6" s="178"/>
      <c r="F6" s="178"/>
      <c r="G6" s="21" t="s">
        <v>64</v>
      </c>
      <c r="H6" s="21" t="s">
        <v>15</v>
      </c>
      <c r="I6" s="124" t="s">
        <v>77</v>
      </c>
      <c r="J6" s="125" t="s">
        <v>78</v>
      </c>
      <c r="K6" s="54"/>
      <c r="L6" s="176" t="s">
        <v>63</v>
      </c>
      <c r="M6" s="177"/>
      <c r="N6" s="75"/>
      <c r="AB6" s="9" t="s">
        <v>2</v>
      </c>
    </row>
    <row r="7" spans="2:28" ht="13.5" customHeight="1" x14ac:dyDescent="0.2">
      <c r="B7" s="73"/>
      <c r="C7" s="131" t="s">
        <v>19</v>
      </c>
      <c r="D7" s="197"/>
      <c r="E7" s="197"/>
      <c r="F7" s="197"/>
      <c r="G7" s="23"/>
      <c r="H7" s="13">
        <f>G38</f>
        <v>0</v>
      </c>
      <c r="I7" s="126" t="s">
        <v>20</v>
      </c>
      <c r="J7" s="127" t="s">
        <v>20</v>
      </c>
      <c r="K7" s="54"/>
      <c r="L7" s="193">
        <v>0</v>
      </c>
      <c r="M7" s="194"/>
      <c r="N7" s="75"/>
      <c r="AB7" s="9" t="s">
        <v>3</v>
      </c>
    </row>
    <row r="8" spans="2:28" ht="13.5" customHeight="1" thickBot="1" x14ac:dyDescent="0.25">
      <c r="B8" s="73"/>
      <c r="C8" s="131" t="s">
        <v>81</v>
      </c>
      <c r="D8" s="197"/>
      <c r="E8" s="197"/>
      <c r="F8" s="197"/>
      <c r="G8" s="24"/>
      <c r="H8" s="13">
        <f>H7</f>
        <v>0</v>
      </c>
      <c r="I8" s="135">
        <f>IF(L10&gt;0,((G8-G7)*43560*7.5/L10),0)</f>
        <v>0</v>
      </c>
      <c r="J8" s="127" t="str">
        <f>IF(G8="","",H7/(G8-G7))</f>
        <v/>
      </c>
      <c r="K8" s="54"/>
      <c r="L8" s="195"/>
      <c r="M8" s="196"/>
      <c r="N8" s="75"/>
      <c r="AB8" s="6" t="s">
        <v>4</v>
      </c>
    </row>
    <row r="9" spans="2:28" ht="13.5" customHeight="1" x14ac:dyDescent="0.2">
      <c r="B9" s="73"/>
      <c r="C9" s="131" t="s">
        <v>79</v>
      </c>
      <c r="D9" s="197"/>
      <c r="E9" s="197"/>
      <c r="F9" s="197"/>
      <c r="G9" s="24"/>
      <c r="H9" s="13">
        <f>H8</f>
        <v>0</v>
      </c>
      <c r="I9" s="135">
        <f>IF(L10&gt;0,((G9-G7)*43560*7.5/L10),0)</f>
        <v>0</v>
      </c>
      <c r="J9" s="127" t="str">
        <f>IF(G9="","",H8/(G9-G7))</f>
        <v/>
      </c>
      <c r="K9" s="54"/>
      <c r="L9" s="176" t="s">
        <v>76</v>
      </c>
      <c r="M9" s="177"/>
      <c r="N9" s="75"/>
      <c r="AB9" s="9"/>
    </row>
    <row r="10" spans="2:28" ht="13.5" customHeight="1" thickBot="1" x14ac:dyDescent="0.25">
      <c r="B10" s="73"/>
      <c r="C10" s="132" t="s">
        <v>80</v>
      </c>
      <c r="D10" s="198"/>
      <c r="E10" s="198"/>
      <c r="F10" s="198"/>
      <c r="G10" s="25"/>
      <c r="H10" s="22">
        <f>H9</f>
        <v>0</v>
      </c>
      <c r="I10" s="136">
        <f>IF(L10&gt;0,((G10-G7)*43560*7.5/L10),0)</f>
        <v>0</v>
      </c>
      <c r="J10" s="128"/>
      <c r="K10" s="54"/>
      <c r="L10" s="179">
        <v>0</v>
      </c>
      <c r="M10" s="180"/>
      <c r="N10" s="75"/>
      <c r="AB10" s="9"/>
    </row>
    <row r="11" spans="2:28" ht="13.5" customHeight="1" thickBot="1" x14ac:dyDescent="0.25">
      <c r="B11" s="73"/>
      <c r="C11" s="82"/>
      <c r="D11" s="56"/>
      <c r="E11" s="56"/>
      <c r="F11" s="56"/>
      <c r="G11" s="54"/>
      <c r="H11" s="54"/>
      <c r="I11" s="54"/>
      <c r="J11" s="54"/>
      <c r="K11" s="54"/>
      <c r="L11" s="181"/>
      <c r="M11" s="182"/>
      <c r="N11" s="75"/>
      <c r="AB11" s="9"/>
    </row>
    <row r="12" spans="2:28" ht="19.5" thickBot="1" x14ac:dyDescent="0.35">
      <c r="B12" s="73"/>
      <c r="C12" s="199" t="s">
        <v>51</v>
      </c>
      <c r="D12" s="200"/>
      <c r="E12" s="200"/>
      <c r="F12" s="201"/>
      <c r="G12" s="54"/>
      <c r="H12" s="54"/>
      <c r="I12" s="54"/>
      <c r="J12" s="202" t="s">
        <v>67</v>
      </c>
      <c r="K12" s="203"/>
      <c r="L12" s="57"/>
      <c r="M12" s="55"/>
      <c r="N12" s="75"/>
    </row>
    <row r="13" spans="2:28" ht="28.5" customHeight="1" x14ac:dyDescent="0.25">
      <c r="B13" s="73"/>
      <c r="C13" s="133" t="s">
        <v>0</v>
      </c>
      <c r="D13" s="134" t="s">
        <v>46</v>
      </c>
      <c r="E13" s="134" t="s">
        <v>12</v>
      </c>
      <c r="F13" s="130" t="s">
        <v>75</v>
      </c>
      <c r="G13" s="130" t="s">
        <v>23</v>
      </c>
      <c r="H13" s="129" t="s">
        <v>27</v>
      </c>
      <c r="I13" s="54"/>
      <c r="J13" s="46"/>
      <c r="K13" s="17"/>
      <c r="L13" s="173" t="s">
        <v>22</v>
      </c>
      <c r="M13" s="167" t="s">
        <v>68</v>
      </c>
      <c r="N13" s="75"/>
      <c r="Y13" s="9"/>
    </row>
    <row r="14" spans="2:28" ht="16.5" thickBot="1" x14ac:dyDescent="0.3">
      <c r="B14" s="73"/>
      <c r="C14" s="137"/>
      <c r="D14" s="26"/>
      <c r="E14" s="27"/>
      <c r="F14" s="28"/>
      <c r="G14" s="16" t="str">
        <f t="shared" ref="G14:G36" si="0">IF(C14="","",ROUND(F14*E14*VLOOKUP(C14,Volume,AB15),0))</f>
        <v/>
      </c>
      <c r="H14" s="138" t="str">
        <f t="shared" ref="H14:H36" si="1">IF(C14="","",E14*F14*VLOOKUP(C14,Costs,2))</f>
        <v/>
      </c>
      <c r="I14" s="54"/>
      <c r="J14" s="47" t="s">
        <v>11</v>
      </c>
      <c r="K14" s="15"/>
      <c r="L14" s="174"/>
      <c r="M14" s="168"/>
      <c r="N14" s="75"/>
    </row>
    <row r="15" spans="2:28" x14ac:dyDescent="0.2">
      <c r="B15" s="73"/>
      <c r="C15" s="137"/>
      <c r="D15" s="26"/>
      <c r="E15" s="27"/>
      <c r="F15" s="28"/>
      <c r="G15" s="16" t="str">
        <f t="shared" si="0"/>
        <v/>
      </c>
      <c r="H15" s="138" t="str">
        <f t="shared" si="1"/>
        <v/>
      </c>
      <c r="I15" s="54"/>
      <c r="J15" s="60" t="s">
        <v>61</v>
      </c>
      <c r="K15" s="17"/>
      <c r="L15" s="19"/>
      <c r="M15" s="170">
        <f>(K16+K19)*VLOOKUP("Downspout Disconnection",Costs,2)</f>
        <v>0</v>
      </c>
      <c r="N15" s="75"/>
      <c r="P15" s="9" t="s">
        <v>59</v>
      </c>
      <c r="Y15" s="9"/>
      <c r="AB15" s="8">
        <f t="shared" ref="AB15:AB33" si="2">IF(D14="A",2,IF(D14="B",3,IF(D14="C",4,IF(D14="D",5,0))))</f>
        <v>0</v>
      </c>
    </row>
    <row r="16" spans="2:28" x14ac:dyDescent="0.2">
      <c r="B16" s="73"/>
      <c r="C16" s="137"/>
      <c r="D16" s="26"/>
      <c r="E16" s="27"/>
      <c r="F16" s="28"/>
      <c r="G16" s="16" t="str">
        <f t="shared" si="0"/>
        <v/>
      </c>
      <c r="H16" s="138" t="str">
        <f t="shared" si="1"/>
        <v/>
      </c>
      <c r="I16" s="54"/>
      <c r="J16" s="12" t="s">
        <v>13</v>
      </c>
      <c r="K16" s="27">
        <v>0</v>
      </c>
      <c r="L16" s="163">
        <f>ROUND(S17*VLOOKUP("Downspout Disconnection",Volume,2),0)</f>
        <v>0</v>
      </c>
      <c r="M16" s="171"/>
      <c r="N16" s="76"/>
      <c r="P16" s="1" t="s">
        <v>18</v>
      </c>
      <c r="Q16" s="1" t="s">
        <v>7</v>
      </c>
      <c r="R16" s="1" t="s">
        <v>8</v>
      </c>
      <c r="S16" s="1" t="s">
        <v>24</v>
      </c>
      <c r="AB16" s="8">
        <f t="shared" si="2"/>
        <v>0</v>
      </c>
    </row>
    <row r="17" spans="2:28" ht="13.5" thickBot="1" x14ac:dyDescent="0.25">
      <c r="B17" s="73"/>
      <c r="C17" s="137"/>
      <c r="D17" s="26"/>
      <c r="E17" s="27"/>
      <c r="F17" s="28"/>
      <c r="G17" s="16" t="str">
        <f t="shared" si="0"/>
        <v/>
      </c>
      <c r="H17" s="138" t="str">
        <f t="shared" si="1"/>
        <v/>
      </c>
      <c r="I17" s="54"/>
      <c r="J17" s="58" t="s">
        <v>21</v>
      </c>
      <c r="K17" s="59">
        <v>0</v>
      </c>
      <c r="L17" s="169"/>
      <c r="M17" s="171"/>
      <c r="N17" s="76"/>
      <c r="P17" s="1">
        <v>98</v>
      </c>
      <c r="Q17" s="1">
        <f>(1000/P17)-10</f>
        <v>0.20408163265306101</v>
      </c>
      <c r="R17" s="1">
        <f>((L7-0.2*Q17)^2)/(L7+0.8*Q17)</f>
        <v>1.0204081632653052E-2</v>
      </c>
      <c r="S17" s="1">
        <f>(R17/12)*(K16*K17)</f>
        <v>0</v>
      </c>
      <c r="Y17" s="9"/>
      <c r="AB17" s="8">
        <f t="shared" si="2"/>
        <v>0</v>
      </c>
    </row>
    <row r="18" spans="2:28" ht="13.5" thickTop="1" x14ac:dyDescent="0.2">
      <c r="B18" s="73"/>
      <c r="C18" s="137"/>
      <c r="D18" s="26"/>
      <c r="E18" s="27"/>
      <c r="F18" s="28"/>
      <c r="G18" s="16" t="str">
        <f t="shared" si="0"/>
        <v/>
      </c>
      <c r="H18" s="138" t="str">
        <f t="shared" si="1"/>
        <v/>
      </c>
      <c r="I18" s="54"/>
      <c r="J18" s="61" t="s">
        <v>62</v>
      </c>
      <c r="K18" s="15"/>
      <c r="L18" s="49"/>
      <c r="M18" s="171"/>
      <c r="N18" s="76"/>
      <c r="P18" s="1">
        <v>98</v>
      </c>
      <c r="Q18" s="1">
        <f>(1000/P18)-10</f>
        <v>0.20408163265306101</v>
      </c>
      <c r="R18" s="1">
        <f>R17</f>
        <v>1.0204081632653052E-2</v>
      </c>
      <c r="S18" s="1">
        <f>(R18/12)*(K19*K20)</f>
        <v>0</v>
      </c>
      <c r="AB18" s="8">
        <f t="shared" si="2"/>
        <v>0</v>
      </c>
    </row>
    <row r="19" spans="2:28" x14ac:dyDescent="0.2">
      <c r="B19" s="73"/>
      <c r="C19" s="137"/>
      <c r="D19" s="26"/>
      <c r="E19" s="27"/>
      <c r="F19" s="28"/>
      <c r="G19" s="16" t="str">
        <f t="shared" si="0"/>
        <v/>
      </c>
      <c r="H19" s="138" t="str">
        <f t="shared" si="1"/>
        <v/>
      </c>
      <c r="I19" s="54"/>
      <c r="J19" s="12" t="s">
        <v>13</v>
      </c>
      <c r="K19" s="27">
        <v>0</v>
      </c>
      <c r="L19" s="163">
        <f>ROUND(S18*VLOOKUP("downspout disconnection",Volume,4),0)</f>
        <v>0</v>
      </c>
      <c r="M19" s="171"/>
      <c r="N19" s="75"/>
      <c r="AB19" s="8">
        <f t="shared" si="2"/>
        <v>0</v>
      </c>
    </row>
    <row r="20" spans="2:28" ht="13.5" thickBot="1" x14ac:dyDescent="0.25">
      <c r="B20" s="73"/>
      <c r="C20" s="137"/>
      <c r="D20" s="26"/>
      <c r="E20" s="27"/>
      <c r="F20" s="28"/>
      <c r="G20" s="16" t="str">
        <f t="shared" si="0"/>
        <v/>
      </c>
      <c r="H20" s="138" t="str">
        <f t="shared" si="1"/>
        <v/>
      </c>
      <c r="I20" s="54"/>
      <c r="J20" s="14" t="s">
        <v>21</v>
      </c>
      <c r="K20" s="30">
        <v>0</v>
      </c>
      <c r="L20" s="164"/>
      <c r="M20" s="172"/>
      <c r="N20" s="76"/>
      <c r="AB20" s="8">
        <f t="shared" si="2"/>
        <v>0</v>
      </c>
    </row>
    <row r="21" spans="2:28" x14ac:dyDescent="0.2">
      <c r="B21" s="73"/>
      <c r="C21" s="137"/>
      <c r="D21" s="26"/>
      <c r="E21" s="27"/>
      <c r="F21" s="28"/>
      <c r="G21" s="16" t="str">
        <f t="shared" si="0"/>
        <v/>
      </c>
      <c r="H21" s="138" t="str">
        <f t="shared" si="1"/>
        <v/>
      </c>
      <c r="I21" s="54"/>
      <c r="J21" s="62"/>
      <c r="K21" s="65"/>
      <c r="L21" s="63"/>
      <c r="M21" s="66"/>
      <c r="N21" s="75"/>
      <c r="AB21" s="8">
        <f t="shared" si="2"/>
        <v>0</v>
      </c>
    </row>
    <row r="22" spans="2:28" ht="16.5" thickBot="1" x14ac:dyDescent="0.3">
      <c r="B22" s="73"/>
      <c r="C22" s="137"/>
      <c r="D22" s="26"/>
      <c r="E22" s="27"/>
      <c r="F22" s="28"/>
      <c r="G22" s="16" t="str">
        <f t="shared" si="0"/>
        <v/>
      </c>
      <c r="H22" s="138" t="str">
        <f t="shared" si="1"/>
        <v/>
      </c>
      <c r="I22" s="54"/>
      <c r="J22" s="47" t="s">
        <v>60</v>
      </c>
      <c r="K22" s="18"/>
      <c r="L22" s="18"/>
      <c r="M22" s="48"/>
      <c r="N22" s="75"/>
      <c r="AB22" s="8">
        <f t="shared" si="2"/>
        <v>0</v>
      </c>
    </row>
    <row r="23" spans="2:28" ht="13.5" thickBot="1" x14ac:dyDescent="0.25">
      <c r="B23" s="73"/>
      <c r="C23" s="137"/>
      <c r="D23" s="26"/>
      <c r="E23" s="27"/>
      <c r="F23" s="28"/>
      <c r="G23" s="16" t="str">
        <f t="shared" si="0"/>
        <v/>
      </c>
      <c r="H23" s="138" t="str">
        <f t="shared" si="1"/>
        <v/>
      </c>
      <c r="I23" s="54"/>
      <c r="J23" s="31" t="s">
        <v>52</v>
      </c>
      <c r="K23" s="41">
        <v>0</v>
      </c>
      <c r="L23" s="43">
        <f>ROUND(P25,0)</f>
        <v>0</v>
      </c>
      <c r="M23" s="32">
        <f>K23*VLOOKUP("Green Roof",Costs,2)</f>
        <v>0</v>
      </c>
      <c r="N23" s="75"/>
      <c r="P23" s="9" t="s">
        <v>50</v>
      </c>
      <c r="AB23" s="8">
        <f t="shared" si="2"/>
        <v>0</v>
      </c>
    </row>
    <row r="24" spans="2:28" x14ac:dyDescent="0.2">
      <c r="B24" s="73"/>
      <c r="C24" s="137"/>
      <c r="D24" s="26"/>
      <c r="E24" s="27"/>
      <c r="F24" s="28"/>
      <c r="G24" s="16" t="str">
        <f t="shared" si="0"/>
        <v/>
      </c>
      <c r="H24" s="138" t="str">
        <f t="shared" si="1"/>
        <v/>
      </c>
      <c r="I24" s="54"/>
      <c r="J24" s="52"/>
      <c r="K24" s="53"/>
      <c r="L24" s="53"/>
      <c r="M24" s="55"/>
      <c r="N24" s="75"/>
      <c r="P24" s="4" t="s">
        <v>25</v>
      </c>
      <c r="Q24" s="1" t="s">
        <v>18</v>
      </c>
      <c r="R24" s="1" t="s">
        <v>7</v>
      </c>
      <c r="S24" s="1" t="s">
        <v>8</v>
      </c>
      <c r="T24" s="1" t="s">
        <v>24</v>
      </c>
      <c r="AB24" s="8">
        <f t="shared" si="2"/>
        <v>0</v>
      </c>
    </row>
    <row r="25" spans="2:28" ht="16.5" thickBot="1" x14ac:dyDescent="0.3">
      <c r="B25" s="73"/>
      <c r="C25" s="137"/>
      <c r="D25" s="26"/>
      <c r="E25" s="27"/>
      <c r="F25" s="28"/>
      <c r="G25" s="16" t="str">
        <f t="shared" si="0"/>
        <v/>
      </c>
      <c r="H25" s="138" t="str">
        <f t="shared" si="1"/>
        <v/>
      </c>
      <c r="I25" s="54"/>
      <c r="J25" s="47" t="s">
        <v>53</v>
      </c>
      <c r="K25" s="18"/>
      <c r="L25" s="18"/>
      <c r="M25" s="48"/>
      <c r="N25" s="75"/>
      <c r="P25" s="5">
        <f>T26-T25</f>
        <v>0</v>
      </c>
      <c r="Q25" s="1">
        <v>85</v>
      </c>
      <c r="R25" s="1">
        <f>(1000/Q25)-10</f>
        <v>1.764705882352942</v>
      </c>
      <c r="S25" s="1">
        <f>((L7-0.2*R25)^2)/(L7+0.8*R25)</f>
        <v>8.8235294117647106E-2</v>
      </c>
      <c r="T25" s="1">
        <f>(S25/12)*K23</f>
        <v>0</v>
      </c>
      <c r="U25" s="1"/>
      <c r="V25" s="1"/>
      <c r="W25" s="1"/>
      <c r="X25" s="1"/>
      <c r="AB25" s="8">
        <f t="shared" si="2"/>
        <v>0</v>
      </c>
    </row>
    <row r="26" spans="2:28" x14ac:dyDescent="0.2">
      <c r="B26" s="73"/>
      <c r="C26" s="137"/>
      <c r="D26" s="26"/>
      <c r="E26" s="27"/>
      <c r="F26" s="28"/>
      <c r="G26" s="16" t="str">
        <f t="shared" si="0"/>
        <v/>
      </c>
      <c r="H26" s="138" t="str">
        <f t="shared" si="1"/>
        <v/>
      </c>
      <c r="I26" s="54"/>
      <c r="J26" s="33" t="s">
        <v>54</v>
      </c>
      <c r="K26" s="42">
        <v>0</v>
      </c>
      <c r="L26" s="44">
        <f>ROUND(X29-T29,0)</f>
        <v>0</v>
      </c>
      <c r="M26" s="165">
        <f>SUM(K26:K29)*VLOOKUP("Impervious area removal",Costs, 2)</f>
        <v>0</v>
      </c>
      <c r="N26" s="75"/>
      <c r="P26" s="4"/>
      <c r="Q26" s="1">
        <v>98</v>
      </c>
      <c r="R26" s="1">
        <f>(1000/Q26)-10</f>
        <v>0.20408163265306101</v>
      </c>
      <c r="S26" s="1">
        <f>((L7-0.2*R26)^2)/(L7+0.8*R26)</f>
        <v>1.0204081632653052E-2</v>
      </c>
      <c r="T26" s="1">
        <f>(S26/12)*K23</f>
        <v>0</v>
      </c>
      <c r="U26" s="1"/>
      <c r="V26" s="1"/>
      <c r="W26" s="1"/>
      <c r="X26" s="1"/>
      <c r="AB26" s="8">
        <f t="shared" si="2"/>
        <v>0</v>
      </c>
    </row>
    <row r="27" spans="2:28" x14ac:dyDescent="0.2">
      <c r="B27" s="73"/>
      <c r="C27" s="137"/>
      <c r="D27" s="26"/>
      <c r="E27" s="27"/>
      <c r="F27" s="28"/>
      <c r="G27" s="16" t="str">
        <f t="shared" si="0"/>
        <v/>
      </c>
      <c r="H27" s="138" t="str">
        <f t="shared" si="1"/>
        <v/>
      </c>
      <c r="I27" s="54"/>
      <c r="J27" s="12" t="s">
        <v>55</v>
      </c>
      <c r="K27" s="29">
        <v>0</v>
      </c>
      <c r="L27" s="16">
        <f>ROUND(X30-T30,0)</f>
        <v>0</v>
      </c>
      <c r="M27" s="175"/>
      <c r="N27" s="75"/>
      <c r="P27" s="9" t="s">
        <v>58</v>
      </c>
      <c r="U27" s="1"/>
      <c r="V27" s="1"/>
      <c r="W27" s="1"/>
      <c r="X27" s="1"/>
      <c r="AB27" s="8">
        <f t="shared" si="2"/>
        <v>0</v>
      </c>
    </row>
    <row r="28" spans="2:28" x14ac:dyDescent="0.2">
      <c r="B28" s="73"/>
      <c r="C28" s="137"/>
      <c r="D28" s="26"/>
      <c r="E28" s="27"/>
      <c r="F28" s="28"/>
      <c r="G28" s="16" t="str">
        <f t="shared" si="0"/>
        <v/>
      </c>
      <c r="H28" s="138" t="str">
        <f t="shared" si="1"/>
        <v/>
      </c>
      <c r="I28" s="54"/>
      <c r="J28" s="12" t="s">
        <v>56</v>
      </c>
      <c r="K28" s="29">
        <v>0</v>
      </c>
      <c r="L28" s="16">
        <f>ROUND(X31-T31,0)</f>
        <v>0</v>
      </c>
      <c r="M28" s="175"/>
      <c r="N28" s="75"/>
      <c r="P28" s="4" t="s">
        <v>25</v>
      </c>
      <c r="Q28" s="1" t="s">
        <v>18</v>
      </c>
      <c r="R28" s="1" t="s">
        <v>7</v>
      </c>
      <c r="S28" s="1" t="s">
        <v>8</v>
      </c>
      <c r="T28" s="1" t="s">
        <v>24</v>
      </c>
      <c r="U28" s="1" t="s">
        <v>18</v>
      </c>
      <c r="V28" s="1" t="s">
        <v>7</v>
      </c>
      <c r="W28" s="1" t="s">
        <v>8</v>
      </c>
      <c r="X28" s="1" t="s">
        <v>24</v>
      </c>
      <c r="AB28" s="8">
        <f t="shared" si="2"/>
        <v>0</v>
      </c>
    </row>
    <row r="29" spans="2:28" ht="13.5" thickBot="1" x14ac:dyDescent="0.25">
      <c r="B29" s="73"/>
      <c r="C29" s="137"/>
      <c r="D29" s="26"/>
      <c r="E29" s="27"/>
      <c r="F29" s="28"/>
      <c r="G29" s="16" t="str">
        <f t="shared" si="0"/>
        <v/>
      </c>
      <c r="H29" s="138" t="str">
        <f t="shared" si="1"/>
        <v/>
      </c>
      <c r="I29" s="54"/>
      <c r="J29" s="14" t="s">
        <v>57</v>
      </c>
      <c r="K29" s="30">
        <v>0</v>
      </c>
      <c r="L29" s="45">
        <f>ROUND(X32-T32,0)</f>
        <v>0</v>
      </c>
      <c r="M29" s="166"/>
      <c r="N29" s="75"/>
      <c r="P29" s="5">
        <f>X29-T29</f>
        <v>0</v>
      </c>
      <c r="Q29" s="1">
        <v>39</v>
      </c>
      <c r="R29" s="1">
        <f>(1000/Q29)-10</f>
        <v>15.641025641025642</v>
      </c>
      <c r="S29" s="1">
        <f>((L$7-0.2*R29)^2)/(L$7+0.8*R29)</f>
        <v>0.78205128205128227</v>
      </c>
      <c r="T29" s="1">
        <f>(S29/12)*K26</f>
        <v>0</v>
      </c>
      <c r="U29" s="1">
        <v>98</v>
      </c>
      <c r="V29" s="1">
        <f>(1000/U29)-10</f>
        <v>0.20408163265306101</v>
      </c>
      <c r="W29" s="1">
        <f>((L$7-0.2*V29)^2)/(L$7+0.8*V29)</f>
        <v>1.0204081632653052E-2</v>
      </c>
      <c r="X29" s="1">
        <f>(W29/12)*K26</f>
        <v>0</v>
      </c>
      <c r="AB29" s="8">
        <f t="shared" si="2"/>
        <v>0</v>
      </c>
    </row>
    <row r="30" spans="2:28" x14ac:dyDescent="0.2">
      <c r="B30" s="73"/>
      <c r="C30" s="137"/>
      <c r="D30" s="26"/>
      <c r="E30" s="27"/>
      <c r="F30" s="28"/>
      <c r="G30" s="16" t="str">
        <f t="shared" si="0"/>
        <v/>
      </c>
      <c r="H30" s="138" t="str">
        <f t="shared" si="1"/>
        <v/>
      </c>
      <c r="I30" s="54"/>
      <c r="J30" s="62"/>
      <c r="K30" s="63"/>
      <c r="L30" s="63"/>
      <c r="M30" s="64"/>
      <c r="N30" s="75"/>
      <c r="P30" s="5">
        <f>X30-T30</f>
        <v>0</v>
      </c>
      <c r="Q30" s="1">
        <v>61</v>
      </c>
      <c r="R30" s="1">
        <f>(1000/Q30)-10</f>
        <v>6.3934426229508183</v>
      </c>
      <c r="S30" s="1">
        <f>((L$7-0.2*R30)^2)/(L$7+0.8*R30)</f>
        <v>0.31967213114754095</v>
      </c>
      <c r="T30" s="1">
        <f>(S30/12)*K27</f>
        <v>0</v>
      </c>
      <c r="U30" s="1">
        <v>98</v>
      </c>
      <c r="V30" s="1">
        <f>(1000/U30)-10</f>
        <v>0.20408163265306101</v>
      </c>
      <c r="W30" s="1">
        <f>((L$7-0.2*V30)^2)/(L$7+0.8*V30)</f>
        <v>1.0204081632653052E-2</v>
      </c>
      <c r="X30" s="1">
        <f>(W30/12)*K27</f>
        <v>0</v>
      </c>
      <c r="AB30" s="8">
        <f t="shared" si="2"/>
        <v>0</v>
      </c>
    </row>
    <row r="31" spans="2:28" ht="16.5" thickBot="1" x14ac:dyDescent="0.25">
      <c r="B31" s="73"/>
      <c r="C31" s="137"/>
      <c r="D31" s="26"/>
      <c r="E31" s="27"/>
      <c r="F31" s="28"/>
      <c r="G31" s="16" t="str">
        <f t="shared" si="0"/>
        <v/>
      </c>
      <c r="H31" s="138" t="str">
        <f t="shared" si="1"/>
        <v/>
      </c>
      <c r="I31" s="54"/>
      <c r="J31" s="50" t="s">
        <v>6</v>
      </c>
      <c r="K31" s="18"/>
      <c r="L31" s="18"/>
      <c r="M31" s="49"/>
      <c r="N31" s="75"/>
      <c r="P31" s="5">
        <f>X31-T31</f>
        <v>0</v>
      </c>
      <c r="Q31" s="1">
        <v>74</v>
      </c>
      <c r="R31" s="1">
        <f>(1000/Q31)-10</f>
        <v>3.513513513513514</v>
      </c>
      <c r="S31" s="1">
        <f>((L$7-0.2*R31)^2)/(L$7+0.8*R31)</f>
        <v>0.17567567567567571</v>
      </c>
      <c r="T31" s="1">
        <f>(S31/12)*K28</f>
        <v>0</v>
      </c>
      <c r="U31" s="1">
        <v>98</v>
      </c>
      <c r="V31" s="1">
        <f>(1000/U31)-10</f>
        <v>0.20408163265306101</v>
      </c>
      <c r="W31" s="1">
        <f>((L$7-0.2*V31)^2)/(L$7+0.8*V31)</f>
        <v>1.0204081632653052E-2</v>
      </c>
      <c r="X31" s="1">
        <f>(W31/12)*K28</f>
        <v>0</v>
      </c>
      <c r="AB31" s="8">
        <f t="shared" si="2"/>
        <v>0</v>
      </c>
    </row>
    <row r="32" spans="2:28" ht="13.5" thickBot="1" x14ac:dyDescent="0.25">
      <c r="B32" s="73"/>
      <c r="C32" s="137"/>
      <c r="D32" s="26"/>
      <c r="E32" s="27"/>
      <c r="F32" s="28"/>
      <c r="G32" s="16" t="str">
        <f t="shared" si="0"/>
        <v/>
      </c>
      <c r="H32" s="138" t="str">
        <f t="shared" si="1"/>
        <v/>
      </c>
      <c r="I32" s="54"/>
      <c r="J32" s="35" t="s">
        <v>70</v>
      </c>
      <c r="K32" s="40">
        <v>0</v>
      </c>
      <c r="L32" s="43">
        <f>ROUND(K32*0.2/12,0)</f>
        <v>0</v>
      </c>
      <c r="M32" s="36">
        <f>K32*VLOOKUP("Stream Restoration",Costs,2)</f>
        <v>0</v>
      </c>
      <c r="N32" s="75"/>
      <c r="P32" s="5">
        <f>X32-T32</f>
        <v>0</v>
      </c>
      <c r="Q32" s="1">
        <v>80</v>
      </c>
      <c r="R32" s="1">
        <f>(1000/Q32)-10</f>
        <v>2.5</v>
      </c>
      <c r="S32" s="1">
        <f>((L$7-0.2*R32)^2)/(L$7+0.8*R32)</f>
        <v>0.125</v>
      </c>
      <c r="T32" s="1">
        <f>(S32/12)*K29</f>
        <v>0</v>
      </c>
      <c r="U32" s="1">
        <v>98</v>
      </c>
      <c r="V32" s="1">
        <f>(1000/U32)-10</f>
        <v>0.20408163265306101</v>
      </c>
      <c r="W32" s="1">
        <f>((L$7-0.2*V32)^2)/(L$7+0.8*V32)</f>
        <v>1.0204081632653052E-2</v>
      </c>
      <c r="X32" s="1">
        <f>(W32/12)*K29</f>
        <v>0</v>
      </c>
      <c r="AB32" s="8">
        <f t="shared" si="2"/>
        <v>0</v>
      </c>
    </row>
    <row r="33" spans="2:28" x14ac:dyDescent="0.2">
      <c r="B33" s="73"/>
      <c r="C33" s="137"/>
      <c r="D33" s="26"/>
      <c r="E33" s="27"/>
      <c r="F33" s="28"/>
      <c r="G33" s="16" t="str">
        <f t="shared" si="0"/>
        <v/>
      </c>
      <c r="H33" s="138" t="str">
        <f t="shared" si="1"/>
        <v/>
      </c>
      <c r="I33" s="54"/>
      <c r="J33" s="62"/>
      <c r="K33" s="65"/>
      <c r="L33" s="65"/>
      <c r="M33" s="64"/>
      <c r="N33" s="76"/>
      <c r="AB33" s="8">
        <f t="shared" si="2"/>
        <v>0</v>
      </c>
    </row>
    <row r="34" spans="2:28" ht="13.5" customHeight="1" thickBot="1" x14ac:dyDescent="0.25">
      <c r="B34" s="73"/>
      <c r="C34" s="137"/>
      <c r="D34" s="26"/>
      <c r="E34" s="27"/>
      <c r="F34" s="28"/>
      <c r="G34" s="16" t="str">
        <f t="shared" si="0"/>
        <v/>
      </c>
      <c r="H34" s="138" t="str">
        <f t="shared" si="1"/>
        <v/>
      </c>
      <c r="I34" s="54"/>
      <c r="J34" s="51" t="s">
        <v>10</v>
      </c>
      <c r="K34" s="18"/>
      <c r="L34" s="18"/>
      <c r="M34" s="49"/>
      <c r="N34" s="75"/>
    </row>
    <row r="35" spans="2:28" x14ac:dyDescent="0.2">
      <c r="B35" s="73"/>
      <c r="C35" s="137"/>
      <c r="D35" s="26"/>
      <c r="E35" s="27"/>
      <c r="F35" s="28"/>
      <c r="G35" s="16" t="str">
        <f t="shared" si="0"/>
        <v/>
      </c>
      <c r="H35" s="138" t="str">
        <f t="shared" si="1"/>
        <v/>
      </c>
      <c r="I35" s="54"/>
      <c r="J35" s="37" t="s">
        <v>16</v>
      </c>
      <c r="K35" s="34">
        <v>0</v>
      </c>
      <c r="L35" s="145">
        <f>ROUND(K35*((K36/2)^2*3.14)*(0.1/12),0)</f>
        <v>0</v>
      </c>
      <c r="M35" s="165">
        <f>K35*VLOOKUP("tree planting",Costs,2)</f>
        <v>0</v>
      </c>
      <c r="N35" s="75"/>
    </row>
    <row r="36" spans="2:28" ht="13.5" thickBot="1" x14ac:dyDescent="0.25">
      <c r="B36" s="73"/>
      <c r="C36" s="137"/>
      <c r="D36" s="26"/>
      <c r="E36" s="27"/>
      <c r="F36" s="28"/>
      <c r="G36" s="16" t="str">
        <f t="shared" si="0"/>
        <v/>
      </c>
      <c r="H36" s="138" t="str">
        <f t="shared" si="1"/>
        <v/>
      </c>
      <c r="I36" s="54"/>
      <c r="J36" s="38" t="s">
        <v>69</v>
      </c>
      <c r="K36" s="39">
        <v>0</v>
      </c>
      <c r="L36" s="146"/>
      <c r="M36" s="166"/>
      <c r="N36" s="75"/>
    </row>
    <row r="37" spans="2:28" ht="13.5" customHeight="1" thickBot="1" x14ac:dyDescent="0.25">
      <c r="B37" s="73"/>
      <c r="C37" s="52"/>
      <c r="D37" s="54"/>
      <c r="E37" s="54"/>
      <c r="F37" s="54"/>
      <c r="G37" s="54"/>
      <c r="H37" s="67"/>
      <c r="I37" s="54"/>
      <c r="J37" s="68"/>
      <c r="K37" s="68"/>
      <c r="L37" s="69"/>
      <c r="M37" s="55"/>
      <c r="N37" s="75"/>
    </row>
    <row r="38" spans="2:28" ht="13.5" customHeight="1" x14ac:dyDescent="0.2">
      <c r="B38" s="73"/>
      <c r="C38" s="147" t="s">
        <v>14</v>
      </c>
      <c r="D38" s="148"/>
      <c r="E38" s="151">
        <f>SUM(G14:G36)+L16+L19+L23+SUM(L26:L29)+L32+L35</f>
        <v>0</v>
      </c>
      <c r="F38" s="152"/>
      <c r="G38" s="155">
        <f>E38/43560</f>
        <v>0</v>
      </c>
      <c r="H38" s="157">
        <f>IF(E38&gt;0,E38/L10,0)</f>
        <v>0</v>
      </c>
      <c r="I38" s="159">
        <f>H38*7.5/43560</f>
        <v>0</v>
      </c>
      <c r="J38" s="160"/>
      <c r="K38" s="141" t="s">
        <v>71</v>
      </c>
      <c r="L38" s="142"/>
      <c r="M38" s="139">
        <f>M26+M23+M15+SUM(H14:H36)+M32+M35</f>
        <v>0</v>
      </c>
      <c r="N38" s="75"/>
    </row>
    <row r="39" spans="2:28" ht="13.5" customHeight="1" thickBot="1" x14ac:dyDescent="0.25">
      <c r="B39" s="73"/>
      <c r="C39" s="149"/>
      <c r="D39" s="150"/>
      <c r="E39" s="153"/>
      <c r="F39" s="154"/>
      <c r="G39" s="156"/>
      <c r="H39" s="158"/>
      <c r="I39" s="161"/>
      <c r="J39" s="162"/>
      <c r="K39" s="143"/>
      <c r="L39" s="144"/>
      <c r="M39" s="140"/>
      <c r="N39" s="75"/>
    </row>
    <row r="40" spans="2:28" ht="5.25" customHeight="1" thickBot="1" x14ac:dyDescent="0.25"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9"/>
      <c r="M40" s="78"/>
      <c r="N40" s="80"/>
    </row>
    <row r="41" spans="2:28" ht="13.5" customHeight="1" thickTop="1" x14ac:dyDescent="0.2">
      <c r="C41" s="15"/>
      <c r="D41" s="15"/>
      <c r="E41" s="15"/>
      <c r="F41" s="15"/>
      <c r="G41" s="15"/>
      <c r="H41" s="15"/>
      <c r="I41" s="11"/>
    </row>
    <row r="42" spans="2:28" ht="13.5" customHeight="1" x14ac:dyDescent="0.2">
      <c r="C42" s="15"/>
      <c r="D42" s="15"/>
      <c r="E42" s="15"/>
      <c r="F42" s="15"/>
      <c r="G42" s="15"/>
      <c r="H42" s="15"/>
      <c r="I42" s="11"/>
    </row>
    <row r="43" spans="2:28" x14ac:dyDescent="0.2">
      <c r="C43" s="15"/>
      <c r="H43" s="15"/>
      <c r="I43" s="11"/>
      <c r="J43" s="11"/>
      <c r="K43" s="11"/>
      <c r="L43" s="11"/>
    </row>
    <row r="44" spans="2:28" x14ac:dyDescent="0.2">
      <c r="C44" s="11"/>
      <c r="H44" s="11"/>
      <c r="I44" s="11"/>
    </row>
    <row r="46" spans="2:28" x14ac:dyDescent="0.2">
      <c r="K46" s="10"/>
      <c r="L46" s="10"/>
    </row>
  </sheetData>
  <mergeCells count="30">
    <mergeCell ref="C12:F12"/>
    <mergeCell ref="J12:K12"/>
    <mergeCell ref="L6:M6"/>
    <mergeCell ref="D6:F6"/>
    <mergeCell ref="L10:M11"/>
    <mergeCell ref="C3:C4"/>
    <mergeCell ref="I3:J4"/>
    <mergeCell ref="K3:M4"/>
    <mergeCell ref="D3:G4"/>
    <mergeCell ref="L7:M8"/>
    <mergeCell ref="L9:M9"/>
    <mergeCell ref="D7:F7"/>
    <mergeCell ref="D10:F10"/>
    <mergeCell ref="D8:F8"/>
    <mergeCell ref="D9:F9"/>
    <mergeCell ref="L19:L20"/>
    <mergeCell ref="M35:M36"/>
    <mergeCell ref="M13:M14"/>
    <mergeCell ref="L16:L17"/>
    <mergeCell ref="M15:M20"/>
    <mergeCell ref="L13:L14"/>
    <mergeCell ref="M26:M29"/>
    <mergeCell ref="M38:M39"/>
    <mergeCell ref="K38:L39"/>
    <mergeCell ref="L35:L36"/>
    <mergeCell ref="C38:D39"/>
    <mergeCell ref="E38:F39"/>
    <mergeCell ref="G38:G39"/>
    <mergeCell ref="H38:H39"/>
    <mergeCell ref="I38:J39"/>
  </mergeCells>
  <dataValidations count="1">
    <dataValidation type="list" allowBlank="1" showInputMessage="1" showErrorMessage="1" sqref="D14:D36">
      <formula1>$AB$5:$AB$8</formula1>
    </dataValidation>
  </dataValidations>
  <pageMargins left="0.7" right="0.7" top="0.75" bottom="0.75" header="0.3" footer="0.3"/>
  <pageSetup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References!$C$8:$C$25</xm:f>
          </x14:formula1>
          <xm:sqref>C14:C36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J58"/>
  <sheetViews>
    <sheetView showGridLines="0" tabSelected="1" topLeftCell="A27" workbookViewId="0">
      <selection activeCell="D50" sqref="D50"/>
    </sheetView>
  </sheetViews>
  <sheetFormatPr defaultRowHeight="12.75" x14ac:dyDescent="0.2"/>
  <cols>
    <col min="2" max="2" width="2.140625" customWidth="1"/>
    <col min="3" max="3" width="30.7109375" customWidth="1"/>
    <col min="4" max="4" width="10.5703125" customWidth="1"/>
    <col min="10" max="10" width="1.7109375" customWidth="1"/>
  </cols>
  <sheetData>
    <row r="1" spans="1:10" ht="17.25" customHeight="1" thickBot="1" x14ac:dyDescent="0.25"/>
    <row r="2" spans="1:10" ht="14.25" thickTop="1" thickBot="1" x14ac:dyDescent="0.25">
      <c r="B2" s="111"/>
      <c r="C2" s="112"/>
      <c r="D2" s="112"/>
      <c r="E2" s="112"/>
      <c r="F2" s="112"/>
      <c r="G2" s="112"/>
      <c r="H2" s="112"/>
      <c r="I2" s="112"/>
      <c r="J2" s="113"/>
    </row>
    <row r="3" spans="1:10" x14ac:dyDescent="0.2">
      <c r="A3" s="2"/>
      <c r="B3" s="114"/>
      <c r="C3" s="183" t="s">
        <v>65</v>
      </c>
      <c r="D3" s="204">
        <f>'Scenario Tool'!D3</f>
        <v>0</v>
      </c>
      <c r="E3" s="205"/>
      <c r="F3" s="205"/>
      <c r="G3" s="206"/>
      <c r="H3" s="99"/>
      <c r="I3" s="100"/>
      <c r="J3" s="115"/>
    </row>
    <row r="4" spans="1:10" ht="13.5" thickBot="1" x14ac:dyDescent="0.25">
      <c r="B4" s="114"/>
      <c r="C4" s="184"/>
      <c r="D4" s="207"/>
      <c r="E4" s="208"/>
      <c r="F4" s="208"/>
      <c r="G4" s="209"/>
      <c r="H4" s="101"/>
      <c r="I4" s="102"/>
      <c r="J4" s="115"/>
    </row>
    <row r="5" spans="1:10" x14ac:dyDescent="0.2">
      <c r="B5" s="114"/>
      <c r="C5" s="103"/>
      <c r="D5" s="101"/>
      <c r="E5" s="101"/>
      <c r="F5" s="101"/>
      <c r="G5" s="101"/>
      <c r="H5" s="101"/>
      <c r="I5" s="102"/>
      <c r="J5" s="115"/>
    </row>
    <row r="6" spans="1:10" ht="16.5" thickBot="1" x14ac:dyDescent="0.3">
      <c r="B6" s="114"/>
      <c r="C6" s="104" t="s">
        <v>42</v>
      </c>
      <c r="D6" s="101"/>
      <c r="E6" s="101"/>
      <c r="F6" s="101"/>
      <c r="G6" s="101"/>
      <c r="H6" s="101"/>
      <c r="I6" s="102"/>
      <c r="J6" s="115"/>
    </row>
    <row r="7" spans="1:10" x14ac:dyDescent="0.2">
      <c r="B7" s="114"/>
      <c r="C7" s="85" t="s">
        <v>46</v>
      </c>
      <c r="D7" s="86" t="s">
        <v>1</v>
      </c>
      <c r="E7" s="86" t="s">
        <v>2</v>
      </c>
      <c r="F7" s="86" t="s">
        <v>3</v>
      </c>
      <c r="G7" s="87" t="s">
        <v>4</v>
      </c>
      <c r="H7" s="101"/>
      <c r="I7" s="102"/>
      <c r="J7" s="115"/>
    </row>
    <row r="8" spans="1:10" x14ac:dyDescent="0.2">
      <c r="B8" s="114"/>
      <c r="C8" s="88" t="s">
        <v>29</v>
      </c>
      <c r="D8" s="83">
        <v>1.49</v>
      </c>
      <c r="E8" s="83">
        <v>1.1200000000000001</v>
      </c>
      <c r="F8" s="83">
        <v>0.97</v>
      </c>
      <c r="G8" s="89">
        <v>0.89999999999999991</v>
      </c>
      <c r="H8" s="101"/>
      <c r="I8" s="102"/>
      <c r="J8" s="115"/>
    </row>
    <row r="9" spans="1:10" x14ac:dyDescent="0.2">
      <c r="B9" s="114"/>
      <c r="C9" s="88" t="s">
        <v>30</v>
      </c>
      <c r="D9" s="83">
        <v>1.9</v>
      </c>
      <c r="E9" s="83">
        <v>1.7</v>
      </c>
      <c r="F9" s="83">
        <v>1.33</v>
      </c>
      <c r="G9" s="89">
        <v>1.0900000000000001</v>
      </c>
      <c r="H9" s="101"/>
      <c r="I9" s="102"/>
      <c r="J9" s="115"/>
    </row>
    <row r="10" spans="1:10" x14ac:dyDescent="0.2">
      <c r="B10" s="114"/>
      <c r="C10" s="88" t="s">
        <v>31</v>
      </c>
      <c r="D10" s="83">
        <v>0.05</v>
      </c>
      <c r="E10" s="83">
        <v>0.05</v>
      </c>
      <c r="F10" s="83">
        <v>0.05</v>
      </c>
      <c r="G10" s="89">
        <v>0.05</v>
      </c>
      <c r="H10" s="101"/>
      <c r="I10" s="102"/>
      <c r="J10" s="115"/>
    </row>
    <row r="11" spans="1:10" x14ac:dyDescent="0.2">
      <c r="B11" s="114"/>
      <c r="C11" s="88" t="s">
        <v>32</v>
      </c>
      <c r="D11" s="83">
        <v>0.1</v>
      </c>
      <c r="E11" s="83">
        <v>0.1</v>
      </c>
      <c r="F11" s="83">
        <v>0.1</v>
      </c>
      <c r="G11" s="89">
        <v>0.1</v>
      </c>
      <c r="H11" s="101"/>
      <c r="I11" s="102"/>
      <c r="J11" s="115"/>
    </row>
    <row r="12" spans="1:10" x14ac:dyDescent="0.2">
      <c r="B12" s="114"/>
      <c r="C12" s="88" t="s">
        <v>33</v>
      </c>
      <c r="D12" s="83">
        <v>0.25</v>
      </c>
      <c r="E12" s="83">
        <v>0.2</v>
      </c>
      <c r="F12" s="83">
        <v>0.15</v>
      </c>
      <c r="G12" s="89">
        <v>0.1</v>
      </c>
      <c r="H12" s="101"/>
      <c r="I12" s="102"/>
      <c r="J12" s="115"/>
    </row>
    <row r="13" spans="1:10" x14ac:dyDescent="0.2">
      <c r="B13" s="114"/>
      <c r="C13" s="88" t="s">
        <v>11</v>
      </c>
      <c r="D13" s="119">
        <v>0.5</v>
      </c>
      <c r="E13" s="120">
        <f>D13</f>
        <v>0.5</v>
      </c>
      <c r="F13" s="119">
        <v>0.35</v>
      </c>
      <c r="G13" s="121">
        <f>F13</f>
        <v>0.35</v>
      </c>
      <c r="H13" s="101"/>
      <c r="I13" s="102"/>
      <c r="J13" s="115"/>
    </row>
    <row r="14" spans="1:10" x14ac:dyDescent="0.2">
      <c r="B14" s="114"/>
      <c r="C14" s="88" t="s">
        <v>34</v>
      </c>
      <c r="D14" s="83">
        <v>0.2</v>
      </c>
      <c r="E14" s="83">
        <v>0.1</v>
      </c>
      <c r="F14" s="83">
        <v>0.05</v>
      </c>
      <c r="G14" s="89">
        <v>0</v>
      </c>
      <c r="H14" s="101"/>
      <c r="I14" s="102"/>
      <c r="J14" s="115"/>
    </row>
    <row r="15" spans="1:10" x14ac:dyDescent="0.2">
      <c r="B15" s="114"/>
      <c r="C15" s="88" t="s">
        <v>36</v>
      </c>
      <c r="D15" s="83">
        <v>0.4</v>
      </c>
      <c r="E15" s="83">
        <v>0.3</v>
      </c>
      <c r="F15" s="83">
        <v>0.1</v>
      </c>
      <c r="G15" s="89">
        <v>0.05</v>
      </c>
      <c r="H15" s="101"/>
      <c r="I15" s="102"/>
      <c r="J15" s="115"/>
    </row>
    <row r="16" spans="1:10" x14ac:dyDescent="0.2">
      <c r="B16" s="114"/>
      <c r="C16" s="88" t="s">
        <v>37</v>
      </c>
      <c r="D16" s="83">
        <v>1.5</v>
      </c>
      <c r="E16" s="83">
        <v>1.4</v>
      </c>
      <c r="F16" s="83">
        <v>1.3</v>
      </c>
      <c r="G16" s="89">
        <v>1.2</v>
      </c>
      <c r="H16" s="101"/>
      <c r="I16" s="102"/>
      <c r="J16" s="115"/>
    </row>
    <row r="17" spans="2:10" x14ac:dyDescent="0.2">
      <c r="B17" s="114"/>
      <c r="C17" s="88" t="s">
        <v>38</v>
      </c>
      <c r="D17" s="83">
        <v>0.30000000000000004</v>
      </c>
      <c r="E17" s="83">
        <v>0.2</v>
      </c>
      <c r="F17" s="83">
        <v>0.2</v>
      </c>
      <c r="G17" s="89">
        <v>0.15000000000000002</v>
      </c>
      <c r="H17" s="101"/>
      <c r="I17" s="102"/>
      <c r="J17" s="115"/>
    </row>
    <row r="18" spans="2:10" x14ac:dyDescent="0.2">
      <c r="B18" s="114"/>
      <c r="C18" s="88" t="s">
        <v>72</v>
      </c>
      <c r="D18" s="83">
        <v>0.2</v>
      </c>
      <c r="E18" s="83">
        <v>0.2</v>
      </c>
      <c r="F18" s="83">
        <v>0.2</v>
      </c>
      <c r="G18" s="89">
        <v>0.2</v>
      </c>
      <c r="H18" s="101"/>
      <c r="I18" s="102"/>
      <c r="J18" s="115"/>
    </row>
    <row r="19" spans="2:10" x14ac:dyDescent="0.2">
      <c r="B19" s="116"/>
      <c r="C19" s="88" t="s">
        <v>73</v>
      </c>
      <c r="D19" s="83">
        <v>1.5</v>
      </c>
      <c r="E19" s="83">
        <v>1.4</v>
      </c>
      <c r="F19" s="83">
        <v>1.3</v>
      </c>
      <c r="G19" s="89">
        <v>1.2</v>
      </c>
      <c r="H19" s="101"/>
      <c r="I19" s="102"/>
      <c r="J19" s="115"/>
    </row>
    <row r="20" spans="2:10" x14ac:dyDescent="0.2">
      <c r="B20" s="116"/>
      <c r="C20" s="88" t="s">
        <v>40</v>
      </c>
      <c r="D20" s="83">
        <v>1</v>
      </c>
      <c r="E20" s="83">
        <v>1</v>
      </c>
      <c r="F20" s="83">
        <v>1</v>
      </c>
      <c r="G20" s="89">
        <v>1</v>
      </c>
      <c r="H20" s="101"/>
      <c r="I20" s="102"/>
      <c r="J20" s="115"/>
    </row>
    <row r="21" spans="2:10" x14ac:dyDescent="0.2">
      <c r="B21" s="114"/>
      <c r="C21" s="88" t="s">
        <v>41</v>
      </c>
      <c r="D21" s="83">
        <v>0.15</v>
      </c>
      <c r="E21" s="83">
        <v>0.1</v>
      </c>
      <c r="F21" s="83">
        <v>0.05</v>
      </c>
      <c r="G21" s="89">
        <v>0.05</v>
      </c>
      <c r="H21" s="101"/>
      <c r="I21" s="102"/>
      <c r="J21" s="115"/>
    </row>
    <row r="22" spans="2:10" x14ac:dyDescent="0.2">
      <c r="B22" s="114"/>
      <c r="C22" s="90" t="s">
        <v>74</v>
      </c>
      <c r="D22" s="122"/>
      <c r="E22" s="122"/>
      <c r="F22" s="122"/>
      <c r="G22" s="123"/>
      <c r="H22" s="101"/>
      <c r="I22" s="102"/>
      <c r="J22" s="115"/>
    </row>
    <row r="23" spans="2:10" x14ac:dyDescent="0.2">
      <c r="B23" s="114"/>
      <c r="C23" s="90" t="s">
        <v>74</v>
      </c>
      <c r="D23" s="83"/>
      <c r="E23" s="83"/>
      <c r="F23" s="83"/>
      <c r="G23" s="89"/>
      <c r="H23" s="101"/>
      <c r="I23" s="102"/>
      <c r="J23" s="115"/>
    </row>
    <row r="24" spans="2:10" x14ac:dyDescent="0.2">
      <c r="B24" s="114"/>
      <c r="C24" s="90" t="s">
        <v>74</v>
      </c>
      <c r="D24" s="83"/>
      <c r="E24" s="83"/>
      <c r="F24" s="83"/>
      <c r="G24" s="89"/>
      <c r="H24" s="101"/>
      <c r="I24" s="102"/>
      <c r="J24" s="115"/>
    </row>
    <row r="25" spans="2:10" ht="13.5" thickBot="1" x14ac:dyDescent="0.25">
      <c r="B25" s="114"/>
      <c r="C25" s="91" t="s">
        <v>74</v>
      </c>
      <c r="D25" s="92"/>
      <c r="E25" s="92"/>
      <c r="F25" s="92"/>
      <c r="G25" s="93"/>
      <c r="H25" s="101"/>
      <c r="I25" s="102"/>
      <c r="J25" s="115"/>
    </row>
    <row r="26" spans="2:10" x14ac:dyDescent="0.2">
      <c r="B26" s="114"/>
      <c r="C26" s="105"/>
      <c r="D26" s="7"/>
      <c r="E26" s="7"/>
      <c r="F26" s="7"/>
      <c r="G26" s="7"/>
      <c r="H26" s="101"/>
      <c r="I26" s="102"/>
      <c r="J26" s="115"/>
    </row>
    <row r="27" spans="2:10" x14ac:dyDescent="0.2">
      <c r="B27" s="114"/>
      <c r="C27" s="210" t="s">
        <v>45</v>
      </c>
      <c r="D27" s="211"/>
      <c r="E27" s="211"/>
      <c r="F27" s="211"/>
      <c r="G27" s="211"/>
      <c r="H27" s="101"/>
      <c r="I27" s="102"/>
      <c r="J27" s="115"/>
    </row>
    <row r="28" spans="2:10" x14ac:dyDescent="0.2">
      <c r="B28" s="114"/>
      <c r="C28" s="210"/>
      <c r="D28" s="211"/>
      <c r="E28" s="211"/>
      <c r="F28" s="211"/>
      <c r="G28" s="211"/>
      <c r="H28" s="101"/>
      <c r="I28" s="102"/>
      <c r="J28" s="115"/>
    </row>
    <row r="29" spans="2:10" x14ac:dyDescent="0.2">
      <c r="B29" s="114"/>
      <c r="C29" s="212" t="s">
        <v>44</v>
      </c>
      <c r="D29" s="213"/>
      <c r="E29" s="213"/>
      <c r="F29" s="213"/>
      <c r="G29" s="213"/>
      <c r="H29" s="101"/>
      <c r="I29" s="102"/>
      <c r="J29" s="115"/>
    </row>
    <row r="30" spans="2:10" ht="13.5" thickBot="1" x14ac:dyDescent="0.25">
      <c r="B30" s="114"/>
      <c r="C30" s="106"/>
      <c r="D30" s="98"/>
      <c r="E30" s="98"/>
      <c r="F30" s="98"/>
      <c r="G30" s="98"/>
      <c r="H30" s="98"/>
      <c r="I30" s="107"/>
      <c r="J30" s="115"/>
    </row>
    <row r="31" spans="2:10" ht="13.5" thickTop="1" x14ac:dyDescent="0.2">
      <c r="B31" s="114"/>
      <c r="C31" s="103"/>
      <c r="D31" s="101"/>
      <c r="E31" s="101"/>
      <c r="F31" s="101"/>
      <c r="G31" s="101"/>
      <c r="H31" s="101"/>
      <c r="I31" s="102"/>
      <c r="J31" s="115"/>
    </row>
    <row r="32" spans="2:10" ht="13.5" thickBot="1" x14ac:dyDescent="0.25">
      <c r="B32" s="114"/>
      <c r="C32" s="108" t="s">
        <v>47</v>
      </c>
      <c r="D32" s="101"/>
      <c r="E32" s="101"/>
      <c r="F32" s="101"/>
      <c r="G32" s="101"/>
      <c r="H32" s="101"/>
      <c r="I32" s="102"/>
      <c r="J32" s="115"/>
    </row>
    <row r="33" spans="2:10" x14ac:dyDescent="0.2">
      <c r="B33" s="114"/>
      <c r="C33" s="85" t="s">
        <v>46</v>
      </c>
      <c r="D33" s="86" t="s">
        <v>26</v>
      </c>
      <c r="E33" s="87" t="s">
        <v>48</v>
      </c>
      <c r="F33" s="101"/>
      <c r="G33" s="101"/>
      <c r="H33" s="101"/>
      <c r="I33" s="102"/>
      <c r="J33" s="115"/>
    </row>
    <row r="34" spans="2:10" x14ac:dyDescent="0.2">
      <c r="B34" s="114"/>
      <c r="C34" s="88" t="s">
        <v>29</v>
      </c>
      <c r="D34" s="84">
        <v>0</v>
      </c>
      <c r="E34" s="3" t="s">
        <v>5</v>
      </c>
      <c r="F34" s="101"/>
      <c r="G34" s="101"/>
      <c r="H34" s="101"/>
      <c r="I34" s="102"/>
      <c r="J34" s="115"/>
    </row>
    <row r="35" spans="2:10" x14ac:dyDescent="0.2">
      <c r="B35" s="114"/>
      <c r="C35" s="88" t="s">
        <v>30</v>
      </c>
      <c r="D35" s="84">
        <v>0</v>
      </c>
      <c r="E35" s="3" t="s">
        <v>5</v>
      </c>
      <c r="F35" s="101"/>
      <c r="G35" s="101"/>
      <c r="H35" s="101"/>
      <c r="I35" s="102"/>
      <c r="J35" s="115"/>
    </row>
    <row r="36" spans="2:10" x14ac:dyDescent="0.2">
      <c r="B36" s="114"/>
      <c r="C36" s="88" t="s">
        <v>31</v>
      </c>
      <c r="D36" s="84">
        <v>0</v>
      </c>
      <c r="E36" s="94" t="s">
        <v>5</v>
      </c>
      <c r="F36" s="101"/>
      <c r="G36" s="101"/>
      <c r="H36" s="101"/>
      <c r="I36" s="102"/>
      <c r="J36" s="115"/>
    </row>
    <row r="37" spans="2:10" x14ac:dyDescent="0.2">
      <c r="B37" s="114"/>
      <c r="C37" s="88" t="s">
        <v>32</v>
      </c>
      <c r="D37" s="84">
        <v>0</v>
      </c>
      <c r="E37" s="94" t="s">
        <v>5</v>
      </c>
      <c r="F37" s="101"/>
      <c r="G37" s="101"/>
      <c r="H37" s="101"/>
      <c r="I37" s="102"/>
      <c r="J37" s="115"/>
    </row>
    <row r="38" spans="2:10" x14ac:dyDescent="0.2">
      <c r="B38" s="114"/>
      <c r="C38" s="88" t="s">
        <v>33</v>
      </c>
      <c r="D38" s="84">
        <v>0</v>
      </c>
      <c r="E38" s="94" t="s">
        <v>5</v>
      </c>
      <c r="F38" s="101"/>
      <c r="G38" s="101"/>
      <c r="H38" s="101"/>
      <c r="I38" s="102"/>
      <c r="J38" s="115"/>
    </row>
    <row r="39" spans="2:10" x14ac:dyDescent="0.2">
      <c r="B39" s="114"/>
      <c r="C39" s="88" t="s">
        <v>11</v>
      </c>
      <c r="D39" s="84">
        <v>0</v>
      </c>
      <c r="E39" s="94" t="s">
        <v>49</v>
      </c>
      <c r="F39" s="101"/>
      <c r="G39" s="101"/>
      <c r="H39" s="101"/>
      <c r="I39" s="102"/>
      <c r="J39" s="115"/>
    </row>
    <row r="40" spans="2:10" x14ac:dyDescent="0.2">
      <c r="B40" s="114"/>
      <c r="C40" s="88" t="s">
        <v>34</v>
      </c>
      <c r="D40" s="84">
        <v>0</v>
      </c>
      <c r="E40" s="94" t="s">
        <v>5</v>
      </c>
      <c r="F40" s="101"/>
      <c r="G40" s="101"/>
      <c r="H40" s="101"/>
      <c r="I40" s="102"/>
      <c r="J40" s="115"/>
    </row>
    <row r="41" spans="2:10" x14ac:dyDescent="0.2">
      <c r="B41" s="114"/>
      <c r="C41" s="88" t="s">
        <v>35</v>
      </c>
      <c r="D41" s="84">
        <v>0</v>
      </c>
      <c r="E41" s="3" t="s">
        <v>49</v>
      </c>
      <c r="F41" s="101"/>
      <c r="G41" s="101"/>
      <c r="H41" s="101"/>
      <c r="I41" s="102"/>
      <c r="J41" s="115"/>
    </row>
    <row r="42" spans="2:10" x14ac:dyDescent="0.2">
      <c r="B42" s="114"/>
      <c r="C42" s="88" t="s">
        <v>36</v>
      </c>
      <c r="D42" s="84">
        <v>0</v>
      </c>
      <c r="E42" s="94" t="s">
        <v>5</v>
      </c>
      <c r="F42" s="101"/>
      <c r="G42" s="101"/>
      <c r="H42" s="101"/>
      <c r="I42" s="102"/>
      <c r="J42" s="115"/>
    </row>
    <row r="43" spans="2:10" x14ac:dyDescent="0.2">
      <c r="B43" s="114"/>
      <c r="C43" s="88" t="s">
        <v>50</v>
      </c>
      <c r="D43" s="84">
        <v>0</v>
      </c>
      <c r="E43" s="94" t="s">
        <v>9</v>
      </c>
      <c r="F43" s="101"/>
      <c r="G43" s="101"/>
      <c r="H43" s="101"/>
      <c r="I43" s="102"/>
      <c r="J43" s="115"/>
    </row>
    <row r="44" spans="2:10" x14ac:dyDescent="0.2">
      <c r="B44" s="114"/>
      <c r="C44" s="88" t="s">
        <v>53</v>
      </c>
      <c r="D44" s="84">
        <v>0</v>
      </c>
      <c r="E44" s="94" t="s">
        <v>9</v>
      </c>
      <c r="F44" s="101"/>
      <c r="G44" s="101"/>
      <c r="H44" s="101"/>
      <c r="I44" s="102"/>
      <c r="J44" s="115"/>
    </row>
    <row r="45" spans="2:10" x14ac:dyDescent="0.2">
      <c r="B45" s="114"/>
      <c r="C45" s="88" t="s">
        <v>37</v>
      </c>
      <c r="D45" s="84">
        <v>0</v>
      </c>
      <c r="E45" s="94" t="s">
        <v>5</v>
      </c>
      <c r="F45" s="101"/>
      <c r="G45" s="101"/>
      <c r="H45" s="101"/>
      <c r="I45" s="102"/>
      <c r="J45" s="115"/>
    </row>
    <row r="46" spans="2:10" x14ac:dyDescent="0.2">
      <c r="B46" s="114"/>
      <c r="C46" s="88" t="s">
        <v>38</v>
      </c>
      <c r="D46" s="84">
        <v>0</v>
      </c>
      <c r="E46" s="94" t="s">
        <v>5</v>
      </c>
      <c r="F46" s="101"/>
      <c r="G46" s="101"/>
      <c r="H46" s="101"/>
      <c r="I46" s="102"/>
      <c r="J46" s="115"/>
    </row>
    <row r="47" spans="2:10" x14ac:dyDescent="0.2">
      <c r="B47" s="114"/>
      <c r="C47" s="88" t="s">
        <v>39</v>
      </c>
      <c r="D47" s="84">
        <v>0</v>
      </c>
      <c r="E47" s="3" t="s">
        <v>5</v>
      </c>
      <c r="F47" s="101"/>
      <c r="G47" s="101"/>
      <c r="H47" s="101"/>
      <c r="I47" s="102"/>
      <c r="J47" s="115"/>
    </row>
    <row r="48" spans="2:10" x14ac:dyDescent="0.2">
      <c r="B48" s="114"/>
      <c r="C48" s="88" t="s">
        <v>43</v>
      </c>
      <c r="D48" s="84">
        <v>0</v>
      </c>
      <c r="E48" s="3" t="s">
        <v>5</v>
      </c>
      <c r="F48" s="101"/>
      <c r="G48" s="101"/>
      <c r="H48" s="101"/>
      <c r="I48" s="102"/>
      <c r="J48" s="115"/>
    </row>
    <row r="49" spans="2:10" x14ac:dyDescent="0.2">
      <c r="B49" s="114"/>
      <c r="C49" s="88" t="s">
        <v>40</v>
      </c>
      <c r="D49" s="84">
        <v>0</v>
      </c>
      <c r="E49" s="3" t="s">
        <v>5</v>
      </c>
      <c r="F49" s="101"/>
      <c r="G49" s="101"/>
      <c r="H49" s="101"/>
      <c r="I49" s="102"/>
      <c r="J49" s="115"/>
    </row>
    <row r="50" spans="2:10" x14ac:dyDescent="0.2">
      <c r="B50" s="114"/>
      <c r="C50" s="88" t="s">
        <v>6</v>
      </c>
      <c r="D50" s="84">
        <v>0</v>
      </c>
      <c r="E50" s="3" t="s">
        <v>9</v>
      </c>
      <c r="F50" s="101"/>
      <c r="G50" s="101"/>
      <c r="H50" s="101"/>
      <c r="I50" s="102"/>
      <c r="J50" s="115"/>
    </row>
    <row r="51" spans="2:10" x14ac:dyDescent="0.2">
      <c r="B51" s="114"/>
      <c r="C51" s="88" t="s">
        <v>10</v>
      </c>
      <c r="D51" s="84">
        <v>0</v>
      </c>
      <c r="E51" s="3" t="s">
        <v>49</v>
      </c>
      <c r="F51" s="101"/>
      <c r="G51" s="101"/>
      <c r="H51" s="101"/>
      <c r="I51" s="102"/>
      <c r="J51" s="115"/>
    </row>
    <row r="52" spans="2:10" x14ac:dyDescent="0.2">
      <c r="B52" s="114"/>
      <c r="C52" s="88" t="s">
        <v>41</v>
      </c>
      <c r="D52" s="84">
        <v>0</v>
      </c>
      <c r="E52" s="3" t="s">
        <v>5</v>
      </c>
      <c r="F52" s="101"/>
      <c r="G52" s="101"/>
      <c r="H52" s="101"/>
      <c r="I52" s="102"/>
      <c r="J52" s="115"/>
    </row>
    <row r="53" spans="2:10" x14ac:dyDescent="0.2">
      <c r="B53" s="114"/>
      <c r="C53" s="90" t="s">
        <v>74</v>
      </c>
      <c r="D53" s="84">
        <v>0</v>
      </c>
      <c r="E53" s="95"/>
      <c r="F53" s="101"/>
      <c r="G53" s="101"/>
      <c r="H53" s="101"/>
      <c r="I53" s="102"/>
      <c r="J53" s="115"/>
    </row>
    <row r="54" spans="2:10" x14ac:dyDescent="0.2">
      <c r="B54" s="114"/>
      <c r="C54" s="90" t="s">
        <v>74</v>
      </c>
      <c r="D54" s="84">
        <v>0</v>
      </c>
      <c r="E54" s="95"/>
      <c r="F54" s="101"/>
      <c r="G54" s="101"/>
      <c r="H54" s="101"/>
      <c r="I54" s="102"/>
      <c r="J54" s="115"/>
    </row>
    <row r="55" spans="2:10" x14ac:dyDescent="0.2">
      <c r="B55" s="114"/>
      <c r="C55" s="90" t="s">
        <v>74</v>
      </c>
      <c r="D55" s="84">
        <v>0</v>
      </c>
      <c r="E55" s="95"/>
      <c r="F55" s="101"/>
      <c r="G55" s="101"/>
      <c r="H55" s="101"/>
      <c r="I55" s="102"/>
      <c r="J55" s="115"/>
    </row>
    <row r="56" spans="2:10" ht="13.5" thickBot="1" x14ac:dyDescent="0.25">
      <c r="B56" s="114"/>
      <c r="C56" s="91" t="s">
        <v>74</v>
      </c>
      <c r="D56" s="96">
        <v>0</v>
      </c>
      <c r="E56" s="97"/>
      <c r="F56" s="109"/>
      <c r="G56" s="109"/>
      <c r="H56" s="109"/>
      <c r="I56" s="110"/>
      <c r="J56" s="115"/>
    </row>
    <row r="57" spans="2:10" ht="13.5" thickBot="1" x14ac:dyDescent="0.25">
      <c r="B57" s="117"/>
      <c r="C57" s="98"/>
      <c r="D57" s="98"/>
      <c r="E57" s="98"/>
      <c r="F57" s="98"/>
      <c r="G57" s="98"/>
      <c r="H57" s="98"/>
      <c r="I57" s="98"/>
      <c r="J57" s="118"/>
    </row>
    <row r="58" spans="2:10" ht="13.5" thickTop="1" x14ac:dyDescent="0.2"/>
  </sheetData>
  <mergeCells count="4">
    <mergeCell ref="C3:C4"/>
    <mergeCell ref="D3:G4"/>
    <mergeCell ref="C27:G28"/>
    <mergeCell ref="C29:G29"/>
  </mergeCells>
  <pageMargins left="0.7" right="0.7" top="0.75" bottom="0.75" header="0.3" footer="0.3"/>
  <pageSetup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Module3.Volume">
                <anchor moveWithCells="1" sizeWithCells="1">
                  <from>
                    <xdr:col>7</xdr:col>
                    <xdr:colOff>133350</xdr:colOff>
                    <xdr:row>7</xdr:row>
                    <xdr:rowOff>28575</xdr:rowOff>
                  </from>
                  <to>
                    <xdr:col>8</xdr:col>
                    <xdr:colOff>371475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Button 2">
              <controlPr defaultSize="0" print="0" autoFill="0" autoPict="0" macro="[0]!Module4.Costs">
                <anchor moveWithCells="1" sizeWithCells="1">
                  <from>
                    <xdr:col>5</xdr:col>
                    <xdr:colOff>352425</xdr:colOff>
                    <xdr:row>32</xdr:row>
                    <xdr:rowOff>57150</xdr:rowOff>
                  </from>
                  <to>
                    <xdr:col>8</xdr:col>
                    <xdr:colOff>133350</xdr:colOff>
                    <xdr:row>34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Scenario Tool</vt:lpstr>
      <vt:lpstr>References</vt:lpstr>
      <vt:lpstr>Costs</vt:lpstr>
      <vt:lpstr>References!Print_Area</vt:lpstr>
      <vt:lpstr>'Scenario Tool'!Print_Area</vt:lpstr>
      <vt:lpstr>Volume</vt:lpstr>
    </vt:vector>
  </TitlesOfParts>
  <Company>Withers &amp; Ravenel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hfreeman</dc:creator>
  <cp:lastModifiedBy>Freeman, Hunter</cp:lastModifiedBy>
  <cp:lastPrinted>2016-04-26T11:34:57Z</cp:lastPrinted>
  <dcterms:created xsi:type="dcterms:W3CDTF">2009-11-05T15:09:43Z</dcterms:created>
  <dcterms:modified xsi:type="dcterms:W3CDTF">2016-04-28T15:51:02Z</dcterms:modified>
</cp:coreProperties>
</file>